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rame\Teaching\REFin480Fall19\ACIV\"/>
    </mc:Choice>
  </mc:AlternateContent>
  <bookViews>
    <workbookView xWindow="0" yWindow="0" windowWidth="23040" windowHeight="10476" activeTab="6"/>
  </bookViews>
  <sheets>
    <sheet name="Data_Max" sheetId="4" r:id="rId1"/>
    <sheet name="BTCF_Max" sheetId="1" r:id="rId2"/>
    <sheet name="ATCF_Max" sheetId="3" r:id="rId3"/>
    <sheet name="Data_Turtle" sheetId="6" r:id="rId4"/>
    <sheet name="BTCF_Turtle" sheetId="7" r:id="rId5"/>
    <sheet name="ATCF_Turtle" sheetId="8" r:id="rId6"/>
    <sheet name="InvAnalysis" sheetId="9" r:id="rId7"/>
  </sheets>
  <externalReferences>
    <externalReference r:id="rId8"/>
    <externalReference r:id="rId9"/>
  </externalReferences>
  <calcPr calcId="162913"/>
</workbook>
</file>

<file path=xl/calcChain.xml><?xml version="1.0" encoding="utf-8"?>
<calcChain xmlns="http://schemas.openxmlformats.org/spreadsheetml/2006/main">
  <c r="B18" i="9" l="1"/>
  <c r="B9" i="9" l="1"/>
  <c r="B7" i="9"/>
  <c r="B4" i="9"/>
  <c r="B5" i="9" s="1"/>
  <c r="B3" i="9"/>
  <c r="G31" i="8"/>
  <c r="G29" i="8"/>
  <c r="E24" i="8"/>
  <c r="F24" i="8" s="1"/>
  <c r="G24" i="8" s="1"/>
  <c r="D24" i="8"/>
  <c r="C24" i="8"/>
  <c r="F23" i="8"/>
  <c r="G23" i="8" s="1"/>
  <c r="E23" i="8"/>
  <c r="D23" i="8"/>
  <c r="C23" i="8"/>
  <c r="G22" i="8"/>
  <c r="F22" i="8"/>
  <c r="E22" i="8"/>
  <c r="D22" i="8"/>
  <c r="C22" i="8"/>
  <c r="C21" i="8"/>
  <c r="D21" i="8" s="1"/>
  <c r="E21" i="8" s="1"/>
  <c r="G19" i="8"/>
  <c r="F19" i="8"/>
  <c r="E19" i="8"/>
  <c r="D19" i="8"/>
  <c r="C19" i="8"/>
  <c r="G18" i="8"/>
  <c r="F18" i="8"/>
  <c r="E18" i="8"/>
  <c r="D18" i="8"/>
  <c r="C18" i="8"/>
  <c r="D8" i="8"/>
  <c r="C8" i="8"/>
  <c r="B8" i="8"/>
  <c r="B6" i="8"/>
  <c r="C20" i="8" s="1"/>
  <c r="D20" i="8" s="1"/>
  <c r="E20" i="8" s="1"/>
  <c r="G5" i="8"/>
  <c r="G8" i="8" s="1"/>
  <c r="F5" i="8"/>
  <c r="F8" i="8" s="1"/>
  <c r="E5" i="8"/>
  <c r="E8" i="8" s="1"/>
  <c r="D5" i="8"/>
  <c r="C5" i="8"/>
  <c r="G3" i="8"/>
  <c r="F3" i="8"/>
  <c r="E3" i="8"/>
  <c r="D3" i="8"/>
  <c r="C3" i="8"/>
  <c r="D1" i="8"/>
  <c r="E1" i="8" s="1"/>
  <c r="F1" i="8" s="1"/>
  <c r="G1" i="8" s="1"/>
  <c r="C1" i="8"/>
  <c r="G17" i="6"/>
  <c r="B14" i="8" l="1"/>
  <c r="C25" i="8"/>
  <c r="C26" i="8" s="1"/>
  <c r="E25" i="8"/>
  <c r="E26" i="8" s="1"/>
  <c r="E12" i="8" s="1"/>
  <c r="E14" i="8" s="1"/>
  <c r="F20" i="8"/>
  <c r="B9" i="8"/>
  <c r="C12" i="8"/>
  <c r="C14" i="8" s="1"/>
  <c r="D25" i="8"/>
  <c r="D26" i="8" s="1"/>
  <c r="D12" i="8" s="1"/>
  <c r="D14" i="8" s="1"/>
  <c r="F21" i="8"/>
  <c r="G21" i="8" s="1"/>
  <c r="G30" i="8" l="1"/>
  <c r="F25" i="8"/>
  <c r="F26" i="8" s="1"/>
  <c r="F12" i="8" s="1"/>
  <c r="F14" i="8" s="1"/>
  <c r="G20" i="8"/>
  <c r="G25" i="8" s="1"/>
  <c r="G26" i="8" s="1"/>
  <c r="G12" i="8" s="1"/>
  <c r="G5" i="3"/>
  <c r="F5" i="3"/>
  <c r="E5" i="3"/>
  <c r="D5" i="3"/>
  <c r="C5" i="3"/>
  <c r="G35" i="8" l="1"/>
  <c r="G40" i="8" s="1"/>
  <c r="G32" i="8"/>
  <c r="G34" i="8" s="1"/>
  <c r="G36" i="8" s="1"/>
  <c r="G39" i="8" s="1"/>
  <c r="G41" i="8" s="1"/>
  <c r="G13" i="8" s="1"/>
  <c r="G14" i="8" s="1"/>
  <c r="G31" i="3"/>
  <c r="G29" i="3"/>
  <c r="E24" i="3"/>
  <c r="F24" i="3" s="1"/>
  <c r="G24" i="3" s="1"/>
  <c r="E23" i="3"/>
  <c r="F23" i="3" s="1"/>
  <c r="G23" i="3" s="1"/>
  <c r="C22" i="3"/>
  <c r="D22" i="3" s="1"/>
  <c r="E22" i="3" s="1"/>
  <c r="F22" i="3" s="1"/>
  <c r="G22" i="3" s="1"/>
  <c r="B6" i="3"/>
  <c r="B8" i="3" s="1"/>
  <c r="B14" i="3" s="1"/>
  <c r="G17" i="4"/>
  <c r="C21" i="3" s="1"/>
  <c r="G19" i="3"/>
  <c r="F19" i="3"/>
  <c r="E19" i="3"/>
  <c r="D19" i="3"/>
  <c r="C19" i="3"/>
  <c r="G18" i="3"/>
  <c r="F18" i="3"/>
  <c r="E18" i="3"/>
  <c r="D18" i="3"/>
  <c r="C18" i="3"/>
  <c r="G8" i="3"/>
  <c r="F8" i="3"/>
  <c r="E8" i="3"/>
  <c r="D8" i="3"/>
  <c r="C8" i="3"/>
  <c r="G3" i="3"/>
  <c r="F3" i="3"/>
  <c r="E3" i="3"/>
  <c r="D3" i="3"/>
  <c r="C3" i="3"/>
  <c r="C1" i="3"/>
  <c r="D1" i="3" s="1"/>
  <c r="E1" i="3" s="1"/>
  <c r="F1" i="3" s="1"/>
  <c r="G1" i="3" s="1"/>
  <c r="B15" i="8" l="1"/>
  <c r="B8" i="9"/>
  <c r="D21" i="3"/>
  <c r="E21" i="3" s="1"/>
  <c r="F21" i="3" s="1"/>
  <c r="G21" i="3" s="1"/>
  <c r="C20" i="3"/>
  <c r="D20" i="3" s="1"/>
  <c r="E20" i="3" s="1"/>
  <c r="F20" i="3" s="1"/>
  <c r="B9" i="3"/>
  <c r="B12" i="9" s="1"/>
  <c r="B13" i="9" l="1"/>
  <c r="B14" i="9" s="1"/>
  <c r="B15" i="9"/>
  <c r="G30" i="3"/>
  <c r="G35" i="3" s="1"/>
  <c r="G40" i="3" s="1"/>
  <c r="E25" i="3"/>
  <c r="E26" i="3" s="1"/>
  <c r="E12" i="3" s="1"/>
  <c r="E14" i="3" s="1"/>
  <c r="G20" i="3"/>
  <c r="G25" i="3" s="1"/>
  <c r="G26" i="3" s="1"/>
  <c r="G12" i="3" s="1"/>
  <c r="F25" i="3"/>
  <c r="F26" i="3" s="1"/>
  <c r="F12" i="3" s="1"/>
  <c r="F14" i="3" s="1"/>
  <c r="C25" i="3"/>
  <c r="C26" i="3" s="1"/>
  <c r="D25" i="3"/>
  <c r="D26" i="3" s="1"/>
  <c r="D12" i="3" s="1"/>
  <c r="D14" i="3" s="1"/>
  <c r="B22" i="9" l="1"/>
  <c r="C12" i="3"/>
  <c r="C14" i="3" s="1"/>
  <c r="G32" i="3"/>
  <c r="G34" i="3" s="1"/>
  <c r="G36" i="3" s="1"/>
  <c r="G39" i="3" s="1"/>
  <c r="G41" i="3" s="1"/>
  <c r="G13" i="3" s="1"/>
  <c r="G14" i="3" s="1"/>
  <c r="B15" i="3" s="1"/>
  <c r="B20" i="9" s="1"/>
  <c r="B25" i="9" l="1"/>
  <c r="B21" i="9"/>
  <c r="B23" i="9" s="1"/>
  <c r="B24" i="9"/>
  <c r="B19" i="9"/>
</calcChain>
</file>

<file path=xl/sharedStrings.xml><?xml version="1.0" encoding="utf-8"?>
<sst xmlns="http://schemas.openxmlformats.org/spreadsheetml/2006/main" count="281" uniqueCount="156">
  <si>
    <t>Cash Flow</t>
  </si>
  <si>
    <t>Maxell Medical Center (Amounts in USD)</t>
  </si>
  <si>
    <t>Jan, 2020 through Dec, 2025</t>
  </si>
  <si>
    <t>11/19/2019 9:06:00 AM</t>
  </si>
  <si>
    <t>Forecast</t>
  </si>
  <si>
    <t>Year 1</t>
  </si>
  <si>
    <t>Year 2</t>
  </si>
  <si>
    <t>Year 3</t>
  </si>
  <si>
    <t>Year 4</t>
  </si>
  <si>
    <t>Year 5</t>
  </si>
  <si>
    <t>Year 6</t>
  </si>
  <si>
    <t>For the Years Ending</t>
  </si>
  <si>
    <t>Dec-2020</t>
  </si>
  <si>
    <t>Dec-2021</t>
  </si>
  <si>
    <t>Dec-2022</t>
  </si>
  <si>
    <t>Dec-2023</t>
  </si>
  <si>
    <t>Dec-2024</t>
  </si>
  <si>
    <t>Dec-2025</t>
  </si>
  <si>
    <t>Total</t>
  </si>
  <si>
    <t>Rental Revenue</t>
  </si>
  <si>
    <t xml:space="preserve">  Potential Base Rent</t>
  </si>
  <si>
    <t xml:space="preserve">  Absorption &amp; Turnover Vacancy</t>
  </si>
  <si>
    <t xml:space="preserve">  Scheduled Base Rent</t>
  </si>
  <si>
    <t>Total Rental Revenue</t>
  </si>
  <si>
    <t>Other Tenant Revenue</t>
  </si>
  <si>
    <t xml:space="preserve">  Total Expense Recoveries</t>
  </si>
  <si>
    <t>Total Other Tenant Revenue</t>
  </si>
  <si>
    <t>Total Tenant Revenue</t>
  </si>
  <si>
    <t>Parking Revenue</t>
  </si>
  <si>
    <t xml:space="preserve">  Parking</t>
  </si>
  <si>
    <t>Total Other Revenue</t>
  </si>
  <si>
    <t>Potential Gross Revenue</t>
  </si>
  <si>
    <t>Effective Gross Revenue</t>
  </si>
  <si>
    <t>Operating Expenses</t>
  </si>
  <si>
    <t xml:space="preserve">  RE Tax</t>
  </si>
  <si>
    <t xml:space="preserve">  Insurance</t>
  </si>
  <si>
    <t xml:space="preserve">  Janitorial</t>
  </si>
  <si>
    <t xml:space="preserve">  CAM</t>
  </si>
  <si>
    <t xml:space="preserve">  Repairs &amp; Maintenance</t>
  </si>
  <si>
    <t xml:space="preserve">  Mgmt fee</t>
  </si>
  <si>
    <t>Total Operating Expenses</t>
  </si>
  <si>
    <t>Net Operating Income</t>
  </si>
  <si>
    <t>Leasing Costs</t>
  </si>
  <si>
    <t xml:space="preserve">  Tenant Improvements</t>
  </si>
  <si>
    <t xml:space="preserve">  Leasing Commissions</t>
  </si>
  <si>
    <t xml:space="preserve">  Total Leasing Costs</t>
  </si>
  <si>
    <t>Capital Expenditures</t>
  </si>
  <si>
    <t xml:space="preserve">  Reserve</t>
  </si>
  <si>
    <t xml:space="preserve">  Total Capital Expenditures</t>
  </si>
  <si>
    <t>Total Leasing &amp; Capital Costs</t>
  </si>
  <si>
    <t>Cash Flow Before Debt Service</t>
  </si>
  <si>
    <t>Debt Service</t>
  </si>
  <si>
    <t xml:space="preserve">  Interest</t>
  </si>
  <si>
    <t xml:space="preserve">    Fiist</t>
  </si>
  <si>
    <t xml:space="preserve">  Total Interest</t>
  </si>
  <si>
    <t xml:space="preserve">  Principal</t>
  </si>
  <si>
    <t xml:space="preserve">  Total Principal</t>
  </si>
  <si>
    <t>Total Debt Service</t>
  </si>
  <si>
    <t>Cash Flow After Debt Service</t>
  </si>
  <si>
    <t>Cash Flow Available for Distribution</t>
  </si>
  <si>
    <t>Printed on 11/19/2019 9:22:57 AM</t>
  </si>
  <si>
    <t>Taxable income:</t>
  </si>
  <si>
    <t xml:space="preserve">  NOI</t>
  </si>
  <si>
    <t xml:space="preserve">  Mortgage interest</t>
  </si>
  <si>
    <t xml:space="preserve">  Amortization - orig fee</t>
  </si>
  <si>
    <t xml:space="preserve">  Depreciation - structure</t>
  </si>
  <si>
    <t xml:space="preserve">  Depreciation - reserves</t>
  </si>
  <si>
    <t xml:space="preserve">  Depreciation - TI</t>
  </si>
  <si>
    <t xml:space="preserve">  Amortization - lease commission</t>
  </si>
  <si>
    <t>Taxable income</t>
  </si>
  <si>
    <t>Tax liability</t>
  </si>
  <si>
    <t>After tax cash flow from operations</t>
  </si>
  <si>
    <t>Taxable capital gain:</t>
  </si>
  <si>
    <t xml:space="preserve">  Accumulated depreciation</t>
  </si>
  <si>
    <t xml:space="preserve">  Accumulated capital exp</t>
  </si>
  <si>
    <t>Book value</t>
  </si>
  <si>
    <t xml:space="preserve">  Capital appreciation</t>
  </si>
  <si>
    <t xml:space="preserve">  Capital gain</t>
  </si>
  <si>
    <t xml:space="preserve">  Depreciation recapture</t>
  </si>
  <si>
    <t>Before tax cash flow from operations</t>
  </si>
  <si>
    <t>Before tax cash flow from sale</t>
  </si>
  <si>
    <t>After tax cash flow from sale</t>
  </si>
  <si>
    <t>After tax cash flow</t>
  </si>
  <si>
    <t>Before tax cash flow</t>
  </si>
  <si>
    <t xml:space="preserve">  Origination fee</t>
  </si>
  <si>
    <t>Maxwell Plaza</t>
  </si>
  <si>
    <t>General data:</t>
  </si>
  <si>
    <t xml:space="preserve">  Price</t>
  </si>
  <si>
    <t xml:space="preserve">  Property type</t>
  </si>
  <si>
    <t>Office</t>
  </si>
  <si>
    <t xml:space="preserve">  Lease term</t>
  </si>
  <si>
    <t>5 years</t>
  </si>
  <si>
    <t xml:space="preserve">  Rentable SF</t>
  </si>
  <si>
    <t xml:space="preserve">  Number of tenants</t>
  </si>
  <si>
    <t>Mortgage financing:</t>
  </si>
  <si>
    <r>
      <t xml:space="preserve">  </t>
    </r>
    <r>
      <rPr>
        <sz val="10"/>
        <rFont val="Arial"/>
        <family val="2"/>
      </rPr>
      <t>Principal amount borrowed</t>
    </r>
  </si>
  <si>
    <t>$4.4M</t>
  </si>
  <si>
    <t xml:space="preserve">  Interest rate</t>
  </si>
  <si>
    <t xml:space="preserve">  Amortization period</t>
  </si>
  <si>
    <t>30 years</t>
  </si>
  <si>
    <t xml:space="preserve">  Maturity</t>
  </si>
  <si>
    <t xml:space="preserve">  Payment frequency</t>
  </si>
  <si>
    <t>Annual</t>
  </si>
  <si>
    <t>1.5% of initial balance</t>
  </si>
  <si>
    <t>Tax information:</t>
  </si>
  <si>
    <t xml:space="preserve">  Marginal income tax rate</t>
  </si>
  <si>
    <t xml:space="preserve">  Capital gains tax rate</t>
  </si>
  <si>
    <t xml:space="preserve">  Depreciation recapture rate</t>
  </si>
  <si>
    <t xml:space="preserve">  Other passive income</t>
  </si>
  <si>
    <t>None</t>
  </si>
  <si>
    <t xml:space="preserve">  Land value</t>
  </si>
  <si>
    <t xml:space="preserve">  Structure and improvements</t>
  </si>
  <si>
    <t xml:space="preserve">  Economic life - structure</t>
  </si>
  <si>
    <t xml:space="preserve">  Economic life - capital expenditures</t>
  </si>
  <si>
    <t xml:space="preserve">  Economic life - TI</t>
  </si>
  <si>
    <t>BTIRR</t>
  </si>
  <si>
    <t>Before tax:</t>
  </si>
  <si>
    <t>After tax:</t>
  </si>
  <si>
    <t>ATIRR</t>
  </si>
  <si>
    <t>Purchase price</t>
  </si>
  <si>
    <t>Total capital gain tax</t>
  </si>
  <si>
    <t>Taxable capital gain</t>
  </si>
  <si>
    <t>Turtle Tower</t>
  </si>
  <si>
    <t>25 years</t>
  </si>
  <si>
    <t>Turtle Tower (Amounts in USD)</t>
  </si>
  <si>
    <t>11/23/2019 7:03:09 AM</t>
  </si>
  <si>
    <t xml:space="preserve">  Free Rent</t>
  </si>
  <si>
    <t xml:space="preserve">  Ins</t>
  </si>
  <si>
    <t xml:space="preserve">  Utilities</t>
  </si>
  <si>
    <t xml:space="preserve">  Repairs &amp; Maintenant</t>
  </si>
  <si>
    <t xml:space="preserve">  Mgmt</t>
  </si>
  <si>
    <t xml:space="preserve">  Roof</t>
  </si>
  <si>
    <t xml:space="preserve">    Debt</t>
  </si>
  <si>
    <t>Maxwell Medical</t>
  </si>
  <si>
    <t>Initial cap rate</t>
  </si>
  <si>
    <t>Equity dividend rate (Year 1)</t>
  </si>
  <si>
    <t>Debt coverage ratio (Year 1)</t>
  </si>
  <si>
    <t>Rentable square footage</t>
  </si>
  <si>
    <t xml:space="preserve">  BTIRR</t>
  </si>
  <si>
    <t xml:space="preserve">  % of BTIRR from operations</t>
  </si>
  <si>
    <t xml:space="preserve">  % of BTIRR from sale</t>
  </si>
  <si>
    <t>Before-tax analysis:</t>
  </si>
  <si>
    <t>After-tax analysis:</t>
  </si>
  <si>
    <t xml:space="preserve">  ATIRR</t>
  </si>
  <si>
    <t xml:space="preserve">  Effective tax rate</t>
  </si>
  <si>
    <t xml:space="preserve">  % of ATIRR from operations</t>
  </si>
  <si>
    <t xml:space="preserve">  % of ATIRR from tax</t>
  </si>
  <si>
    <t xml:space="preserve">  % of ATIRR from sale</t>
  </si>
  <si>
    <t xml:space="preserve">  NPV (12%  req'd return)</t>
  </si>
  <si>
    <t>Terminal cap rate</t>
  </si>
  <si>
    <t xml:space="preserve">  Profitability ratio</t>
  </si>
  <si>
    <t>Required equity investment</t>
  </si>
  <si>
    <t>LTV ratio (based on purchase price)</t>
  </si>
  <si>
    <t xml:space="preserve">  Modified ATIRR (5% reinvest, 5.75% fin)</t>
  </si>
  <si>
    <t xml:space="preserve">  Required return (levered, after-tax)</t>
  </si>
  <si>
    <t>Multi-use (Office, Retail)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</si>
</sst>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#,##0.0000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Tahoma"/>
      <family val="2"/>
    </font>
    <font>
      <sz val="8"/>
      <color rgb="FF000000"/>
      <name val="Tahoma"/>
      <family val="2"/>
    </font>
    <font>
      <u/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808080"/>
      <name val="Tahoma"/>
      <family val="2"/>
    </font>
    <font>
      <sz val="9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0C4DE"/>
      </patternFill>
    </fill>
  </fills>
  <borders count="5">
    <border>
      <left/>
      <right/>
      <top/>
      <bottom/>
      <diagonal/>
    </border>
    <border>
      <left/>
      <right/>
      <top style="thin">
        <color rgb="FF6593CF"/>
      </top>
      <bottom/>
      <diagonal/>
    </border>
    <border>
      <left/>
      <right/>
      <top style="thin">
        <color rgb="FF6593CF"/>
      </top>
      <bottom style="thin">
        <color rgb="FF6593CF"/>
      </bottom>
      <diagonal/>
    </border>
    <border>
      <left/>
      <right/>
      <top/>
      <bottom style="thin">
        <color rgb="FF6593CF"/>
      </bottom>
      <diagonal/>
    </border>
    <border>
      <left/>
      <right/>
      <top/>
      <bottom style="medium">
        <color rgb="FF6593CF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NumberFormat="1" applyFont="1" applyAlignment="1">
      <alignment horizontal="left" vertical="center" wrapText="1" readingOrder="1"/>
    </xf>
    <xf numFmtId="0" fontId="2" fillId="2" borderId="0" xfId="0" applyNumberFormat="1" applyFont="1" applyFill="1" applyAlignment="1">
      <alignment horizontal="right" vertical="center" wrapText="1" readingOrder="1"/>
    </xf>
    <xf numFmtId="0" fontId="2" fillId="0" borderId="0" xfId="0" applyNumberFormat="1" applyFont="1" applyAlignment="1">
      <alignment horizontal="right" vertical="center" wrapText="1" readingOrder="1"/>
    </xf>
    <xf numFmtId="0" fontId="3" fillId="0" borderId="0" xfId="0" applyNumberFormat="1" applyFont="1" applyAlignment="1">
      <alignment horizontal="right" vertical="center" wrapText="1" readingOrder="1"/>
    </xf>
    <xf numFmtId="0" fontId="4" fillId="0" borderId="0" xfId="0" applyNumberFormat="1" applyFont="1" applyAlignment="1">
      <alignment horizontal="left" vertical="center" wrapText="1" readingOrder="1"/>
    </xf>
    <xf numFmtId="0" fontId="5" fillId="0" borderId="0" xfId="0" applyNumberFormat="1" applyFont="1" applyAlignment="1">
      <alignment horizontal="left" vertical="center" wrapText="1" readingOrder="1"/>
    </xf>
    <xf numFmtId="3" fontId="2" fillId="0" borderId="0" xfId="0" applyNumberFormat="1" applyFont="1" applyAlignment="1">
      <alignment horizontal="right" vertical="center" wrapText="1" readingOrder="1"/>
    </xf>
    <xf numFmtId="3" fontId="2" fillId="0" borderId="1" xfId="0" applyNumberFormat="1" applyFont="1" applyBorder="1" applyAlignment="1">
      <alignment horizontal="right" vertical="center" wrapText="1" readingOrder="1"/>
    </xf>
    <xf numFmtId="3" fontId="2" fillId="0" borderId="2" xfId="0" applyNumberFormat="1" applyFont="1" applyBorder="1" applyAlignment="1">
      <alignment horizontal="right" vertical="center" wrapText="1" readingOrder="1"/>
    </xf>
    <xf numFmtId="3" fontId="2" fillId="0" borderId="3" xfId="0" applyNumberFormat="1" applyFont="1" applyBorder="1" applyAlignment="1">
      <alignment horizontal="right" vertical="center" wrapText="1" readingOrder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39" fontId="8" fillId="0" borderId="0" xfId="0" applyNumberFormat="1" applyFont="1"/>
    <xf numFmtId="10" fontId="8" fillId="0" borderId="0" xfId="1" applyNumberFormat="1" applyFont="1"/>
    <xf numFmtId="39" fontId="0" fillId="0" borderId="0" xfId="0" applyNumberFormat="1"/>
    <xf numFmtId="39" fontId="9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3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9" fontId="0" fillId="0" borderId="0" xfId="0" applyNumberFormat="1" applyAlignment="1">
      <alignment horizontal="left"/>
    </xf>
    <xf numFmtId="10" fontId="0" fillId="0" borderId="0" xfId="0" applyNumberFormat="1" applyAlignment="1">
      <alignment horizontal="right"/>
    </xf>
    <xf numFmtId="3" fontId="0" fillId="0" borderId="0" xfId="0" applyNumberFormat="1" applyAlignment="1">
      <alignment horizontal="left"/>
    </xf>
    <xf numFmtId="6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10" fontId="0" fillId="0" borderId="0" xfId="1" applyNumberFormat="1" applyFont="1" applyAlignment="1">
      <alignment horizontal="right"/>
    </xf>
    <xf numFmtId="3" fontId="0" fillId="0" borderId="0" xfId="0" applyNumberFormat="1" applyAlignment="1">
      <alignment horizontal="right"/>
    </xf>
    <xf numFmtId="9" fontId="0" fillId="0" borderId="0" xfId="0" applyNumberFormat="1" applyAlignment="1">
      <alignment horizontal="right"/>
    </xf>
    <xf numFmtId="37" fontId="0" fillId="0" borderId="0" xfId="0" applyNumberFormat="1" applyAlignment="1">
      <alignment horizontal="right"/>
    </xf>
    <xf numFmtId="0" fontId="12" fillId="0" borderId="0" xfId="0" applyFont="1" applyAlignment="1">
      <alignment horizontal="left"/>
    </xf>
    <xf numFmtId="10" fontId="9" fillId="0" borderId="0" xfId="1" applyNumberFormat="1" applyFont="1"/>
    <xf numFmtId="39" fontId="0" fillId="0" borderId="0" xfId="0" applyNumberFormat="1" applyFont="1"/>
    <xf numFmtId="39" fontId="9" fillId="0" borderId="0" xfId="1" applyNumberFormat="1" applyFont="1"/>
    <xf numFmtId="39" fontId="12" fillId="0" borderId="0" xfId="0" applyNumberFormat="1" applyFont="1"/>
    <xf numFmtId="4" fontId="12" fillId="0" borderId="0" xfId="0" applyNumberFormat="1" applyFont="1"/>
    <xf numFmtId="0" fontId="11" fillId="0" borderId="0" xfId="0" applyFont="1" applyAlignment="1">
      <alignment horizontal="center"/>
    </xf>
    <xf numFmtId="0" fontId="2" fillId="0" borderId="0" xfId="0" applyNumberFormat="1" applyFont="1" applyAlignment="1">
      <alignment horizontal="left" vertical="center" wrapText="1" readingOrder="1"/>
    </xf>
    <xf numFmtId="0" fontId="13" fillId="0" borderId="0" xfId="0" applyFont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0" fontId="11" fillId="0" borderId="0" xfId="0" applyFont="1" applyAlignment="1">
      <alignment horizontal="center"/>
    </xf>
    <xf numFmtId="0" fontId="1" fillId="0" borderId="0" xfId="0" applyNumberFormat="1" applyFont="1" applyAlignment="1">
      <alignment horizontal="left" vertical="center" wrapText="1" readingOrder="1"/>
    </xf>
    <xf numFmtId="0" fontId="2" fillId="0" borderId="0" xfId="0" applyNumberFormat="1" applyFont="1" applyAlignment="1">
      <alignment horizontal="left" vertical="center" wrapText="1" readingOrder="1"/>
    </xf>
    <xf numFmtId="3" fontId="2" fillId="0" borderId="4" xfId="0" applyNumberFormat="1" applyFont="1" applyBorder="1" applyAlignment="1">
      <alignment horizontal="right" vertical="center" wrapText="1" readingOrder="1"/>
    </xf>
    <xf numFmtId="49" fontId="6" fillId="0" borderId="0" xfId="0" applyNumberFormat="1" applyFont="1" applyAlignment="1">
      <alignment horizontal="left" vertical="top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rame/Teaching/REFin480Fall19/spreadsheets/MaxwellPlaz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rame/Teaching/REFin480Fall19/ARGUS/Turtle%20Tower_CashFlo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NOI"/>
      <sheetName val="CF before DS"/>
      <sheetName val="BTCF"/>
      <sheetName val="ATCF"/>
    </sheetNames>
    <sheetDataSet>
      <sheetData sheetId="0"/>
      <sheetData sheetId="1">
        <row r="3">
          <cell r="C3">
            <v>43831</v>
          </cell>
          <cell r="D3">
            <v>44197</v>
          </cell>
          <cell r="E3">
            <v>44562</v>
          </cell>
          <cell r="F3">
            <v>44927</v>
          </cell>
          <cell r="G3">
            <v>45292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Turtle"/>
      <sheetName val="BTCF_Turtle"/>
      <sheetName val="ATCF_Turtle"/>
      <sheetName val="Inv Analysis"/>
    </sheetNames>
    <sheetDataSet>
      <sheetData sheetId="0">
        <row r="4">
          <cell r="C4">
            <v>8750000</v>
          </cell>
          <cell r="G4">
            <v>4789124</v>
          </cell>
        </row>
        <row r="8">
          <cell r="G8">
            <v>5</v>
          </cell>
        </row>
        <row r="10">
          <cell r="G10">
            <v>0.02</v>
          </cell>
        </row>
        <row r="13">
          <cell r="G13">
            <v>0.35</v>
          </cell>
        </row>
        <row r="14">
          <cell r="G14">
            <v>0.2</v>
          </cell>
        </row>
        <row r="15">
          <cell r="G15">
            <v>0.25</v>
          </cell>
        </row>
        <row r="18">
          <cell r="G18">
            <v>5750000</v>
          </cell>
        </row>
        <row r="19">
          <cell r="G19">
            <v>39</v>
          </cell>
        </row>
        <row r="20">
          <cell r="G20">
            <v>10</v>
          </cell>
        </row>
        <row r="21">
          <cell r="G21">
            <v>15</v>
          </cell>
        </row>
        <row r="22">
          <cell r="G22">
            <v>5</v>
          </cell>
        </row>
      </sheetData>
      <sheetData sheetId="1">
        <row r="40">
          <cell r="B40">
            <v>551537</v>
          </cell>
          <cell r="C40">
            <v>684697</v>
          </cell>
          <cell r="D40">
            <v>703921</v>
          </cell>
          <cell r="E40">
            <v>733242</v>
          </cell>
          <cell r="F40">
            <v>726447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65564</v>
          </cell>
          <cell r="F43">
            <v>47271</v>
          </cell>
        </row>
        <row r="44">
          <cell r="B44">
            <v>0</v>
          </cell>
          <cell r="C44">
            <v>0</v>
          </cell>
          <cell r="D44">
            <v>26593</v>
          </cell>
          <cell r="E44">
            <v>26593</v>
          </cell>
          <cell r="F44">
            <v>35147</v>
          </cell>
        </row>
        <row r="48">
          <cell r="B48">
            <v>6600</v>
          </cell>
        </row>
        <row r="50">
          <cell r="B50">
            <v>6600</v>
          </cell>
          <cell r="C50">
            <v>6798</v>
          </cell>
          <cell r="D50">
            <v>50752</v>
          </cell>
          <cell r="E50">
            <v>7212</v>
          </cell>
          <cell r="F50">
            <v>7428</v>
          </cell>
        </row>
        <row r="58">
          <cell r="B58">
            <v>275375</v>
          </cell>
          <cell r="C58">
            <v>270176</v>
          </cell>
          <cell r="D58">
            <v>264678</v>
          </cell>
          <cell r="E58">
            <v>258865</v>
          </cell>
          <cell r="F58">
            <v>252717</v>
          </cell>
        </row>
        <row r="69">
          <cell r="B69">
            <v>179152</v>
          </cell>
          <cell r="C69">
            <v>312115</v>
          </cell>
          <cell r="D69">
            <v>260791</v>
          </cell>
          <cell r="E69">
            <v>268089</v>
          </cell>
          <cell r="F69">
            <v>270816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21" sqref="G21"/>
    </sheetView>
  </sheetViews>
  <sheetFormatPr defaultRowHeight="14.4" x14ac:dyDescent="0.3"/>
  <cols>
    <col min="1" max="1" width="32.6640625" customWidth="1"/>
    <col min="2" max="2" width="30.6640625" customWidth="1"/>
    <col min="3" max="3" width="15.6640625" customWidth="1"/>
    <col min="5" max="5" width="32.6640625" customWidth="1"/>
    <col min="6" max="6" width="30.6640625" customWidth="1"/>
    <col min="7" max="7" width="15.6640625" customWidth="1"/>
  </cols>
  <sheetData>
    <row r="1" spans="1:7" ht="17.399999999999999" x14ac:dyDescent="0.3">
      <c r="A1" s="47" t="s">
        <v>85</v>
      </c>
      <c r="B1" s="47"/>
      <c r="C1" s="47"/>
      <c r="D1" s="47"/>
      <c r="E1" s="47"/>
      <c r="F1" s="47"/>
      <c r="G1" s="47"/>
    </row>
    <row r="2" spans="1:7" ht="17.399999999999999" x14ac:dyDescent="0.3">
      <c r="A2" s="22"/>
      <c r="B2" s="22"/>
      <c r="C2" s="23"/>
    </row>
    <row r="3" spans="1:7" x14ac:dyDescent="0.3">
      <c r="A3" s="14" t="s">
        <v>86</v>
      </c>
      <c r="B3" s="24"/>
      <c r="C3" s="25"/>
      <c r="E3" s="11" t="s">
        <v>94</v>
      </c>
      <c r="G3" s="25"/>
    </row>
    <row r="4" spans="1:7" x14ac:dyDescent="0.3">
      <c r="A4" s="13" t="s">
        <v>87</v>
      </c>
      <c r="B4" s="13"/>
      <c r="C4" s="25">
        <v>6900000</v>
      </c>
      <c r="E4" s="11" t="s">
        <v>95</v>
      </c>
      <c r="F4" s="13" t="s">
        <v>96</v>
      </c>
      <c r="G4" s="25">
        <v>4400000</v>
      </c>
    </row>
    <row r="5" spans="1:7" x14ac:dyDescent="0.3">
      <c r="A5" s="13" t="s">
        <v>154</v>
      </c>
      <c r="B5" s="27"/>
      <c r="C5" s="28">
        <v>0.12</v>
      </c>
      <c r="E5" s="24" t="s">
        <v>97</v>
      </c>
      <c r="F5" s="31">
        <v>5.7500000000000002E-2</v>
      </c>
      <c r="G5" s="28">
        <v>5.7500000000000002E-2</v>
      </c>
    </row>
    <row r="6" spans="1:7" x14ac:dyDescent="0.3">
      <c r="A6" s="24" t="s">
        <v>88</v>
      </c>
      <c r="B6" s="13" t="s">
        <v>89</v>
      </c>
      <c r="C6" s="25"/>
      <c r="E6" s="24" t="s">
        <v>98</v>
      </c>
      <c r="F6" s="13" t="s">
        <v>99</v>
      </c>
      <c r="G6" s="33">
        <v>30</v>
      </c>
    </row>
    <row r="7" spans="1:7" x14ac:dyDescent="0.3">
      <c r="A7" s="24" t="s">
        <v>92</v>
      </c>
      <c r="B7" s="29">
        <v>32000</v>
      </c>
      <c r="C7" s="25">
        <v>32000</v>
      </c>
      <c r="E7" t="s">
        <v>100</v>
      </c>
      <c r="F7" s="13" t="s">
        <v>91</v>
      </c>
      <c r="G7" s="33">
        <v>5</v>
      </c>
    </row>
    <row r="8" spans="1:7" x14ac:dyDescent="0.3">
      <c r="A8" s="24" t="s">
        <v>93</v>
      </c>
      <c r="B8" s="29">
        <v>3</v>
      </c>
      <c r="C8" s="25"/>
      <c r="E8" s="24" t="s">
        <v>101</v>
      </c>
      <c r="F8" s="13" t="s">
        <v>102</v>
      </c>
      <c r="G8" s="25"/>
    </row>
    <row r="9" spans="1:7" x14ac:dyDescent="0.3">
      <c r="A9" s="24"/>
      <c r="B9" s="29"/>
      <c r="C9" s="25"/>
      <c r="E9" s="24" t="s">
        <v>84</v>
      </c>
      <c r="F9" s="24" t="s">
        <v>103</v>
      </c>
      <c r="G9" s="32">
        <v>1.4999999999999999E-2</v>
      </c>
    </row>
    <row r="10" spans="1:7" x14ac:dyDescent="0.3">
      <c r="A10" s="24"/>
      <c r="B10" s="30"/>
      <c r="C10" s="26"/>
      <c r="G10" s="25"/>
    </row>
    <row r="11" spans="1:7" x14ac:dyDescent="0.3">
      <c r="E11" s="11" t="s">
        <v>104</v>
      </c>
      <c r="G11" s="25"/>
    </row>
    <row r="12" spans="1:7" x14ac:dyDescent="0.3">
      <c r="E12" s="12" t="s">
        <v>105</v>
      </c>
      <c r="G12" s="28">
        <v>0.35</v>
      </c>
    </row>
    <row r="13" spans="1:7" x14ac:dyDescent="0.3">
      <c r="E13" s="12" t="s">
        <v>106</v>
      </c>
      <c r="G13" s="28">
        <v>0.2</v>
      </c>
    </row>
    <row r="14" spans="1:7" x14ac:dyDescent="0.3">
      <c r="E14" s="12" t="s">
        <v>107</v>
      </c>
      <c r="G14" s="28">
        <v>0.25</v>
      </c>
    </row>
    <row r="15" spans="1:7" x14ac:dyDescent="0.3">
      <c r="E15" s="12" t="s">
        <v>108</v>
      </c>
      <c r="G15" s="34" t="s">
        <v>109</v>
      </c>
    </row>
    <row r="16" spans="1:7" x14ac:dyDescent="0.3">
      <c r="E16" t="s">
        <v>110</v>
      </c>
      <c r="G16" s="35">
        <v>2500000</v>
      </c>
    </row>
    <row r="17" spans="5:7" x14ac:dyDescent="0.3">
      <c r="E17" t="s">
        <v>111</v>
      </c>
      <c r="G17" s="35">
        <f>C4-G16</f>
        <v>4400000</v>
      </c>
    </row>
    <row r="18" spans="5:7" x14ac:dyDescent="0.3">
      <c r="E18" t="s">
        <v>112</v>
      </c>
      <c r="G18" s="33">
        <v>39</v>
      </c>
    </row>
    <row r="19" spans="5:7" x14ac:dyDescent="0.3">
      <c r="E19" t="s">
        <v>113</v>
      </c>
      <c r="G19" s="33">
        <v>10</v>
      </c>
    </row>
    <row r="20" spans="5:7" x14ac:dyDescent="0.3">
      <c r="E20" s="12" t="s">
        <v>114</v>
      </c>
      <c r="F20" s="27"/>
      <c r="G20" s="33">
        <v>15</v>
      </c>
    </row>
    <row r="21" spans="5:7" x14ac:dyDescent="0.3">
      <c r="E21" s="13" t="s">
        <v>90</v>
      </c>
      <c r="F21" s="13"/>
      <c r="G21" s="33">
        <v>5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70"/>
  <sheetViews>
    <sheetView showGridLines="0" workbookViewId="0">
      <selection activeCell="F78" sqref="F78"/>
    </sheetView>
  </sheetViews>
  <sheetFormatPr defaultRowHeight="14.4" x14ac:dyDescent="0.3"/>
  <cols>
    <col min="1" max="1" width="26.33203125" customWidth="1"/>
    <col min="2" max="9" width="7.77734375" customWidth="1"/>
  </cols>
  <sheetData>
    <row r="1" spans="1:9" ht="9.75" customHeight="1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9.75" customHeight="1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9" ht="9" customHeight="1" x14ac:dyDescent="0.3">
      <c r="A3" s="49" t="s">
        <v>2</v>
      </c>
      <c r="B3" s="49"/>
      <c r="C3" s="49"/>
      <c r="D3" s="49"/>
      <c r="E3" s="49"/>
      <c r="F3" s="49"/>
      <c r="G3" s="49"/>
      <c r="H3" s="49"/>
      <c r="I3" s="49"/>
    </row>
    <row r="4" spans="1:9" ht="9.75" customHeight="1" x14ac:dyDescent="0.3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9" ht="9.75" customHeight="1" x14ac:dyDescent="0.3"/>
    <row r="6" spans="1:9" ht="9.75" customHeight="1" x14ac:dyDescent="0.3"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</row>
    <row r="7" spans="1:9" ht="9.75" customHeight="1" x14ac:dyDescent="0.3"/>
    <row r="8" spans="1:9" ht="9" customHeight="1" x14ac:dyDescent="0.3"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9" ht="9.75" customHeight="1" x14ac:dyDescent="0.3">
      <c r="A9" s="1" t="s">
        <v>11</v>
      </c>
      <c r="B9" s="1"/>
      <c r="C9" s="4" t="s">
        <v>12</v>
      </c>
      <c r="D9" s="4" t="s">
        <v>13</v>
      </c>
      <c r="E9" s="4" t="s">
        <v>14</v>
      </c>
      <c r="F9" s="4" t="s">
        <v>15</v>
      </c>
      <c r="G9" s="4" t="s">
        <v>16</v>
      </c>
      <c r="H9" s="4" t="s">
        <v>17</v>
      </c>
      <c r="I9" s="4" t="s">
        <v>18</v>
      </c>
    </row>
    <row r="10" spans="1:9" ht="9.75" customHeight="1" x14ac:dyDescent="0.3"/>
    <row r="11" spans="1:9" ht="9.75" customHeight="1" x14ac:dyDescent="0.3">
      <c r="A11" s="5" t="s">
        <v>19</v>
      </c>
      <c r="B11" s="5"/>
    </row>
    <row r="12" spans="1:9" ht="9.75" customHeight="1" x14ac:dyDescent="0.3">
      <c r="A12" s="6" t="s">
        <v>20</v>
      </c>
      <c r="B12" s="6"/>
      <c r="C12" s="7">
        <v>670869</v>
      </c>
      <c r="D12" s="7">
        <v>687640</v>
      </c>
      <c r="E12" s="7">
        <v>722340</v>
      </c>
      <c r="F12" s="7">
        <v>756307</v>
      </c>
      <c r="G12" s="7">
        <v>775215</v>
      </c>
      <c r="H12" s="7">
        <v>808551</v>
      </c>
      <c r="I12" s="7">
        <v>4420921</v>
      </c>
    </row>
    <row r="13" spans="1:9" ht="9" customHeight="1" x14ac:dyDescent="0.3">
      <c r="A13" s="6" t="s">
        <v>21</v>
      </c>
      <c r="B13" s="6"/>
      <c r="C13" s="10">
        <v>0</v>
      </c>
      <c r="D13" s="7">
        <v>0</v>
      </c>
      <c r="E13" s="7">
        <v>-18477</v>
      </c>
      <c r="F13" s="7">
        <v>0</v>
      </c>
      <c r="G13" s="7">
        <v>0</v>
      </c>
      <c r="H13" s="7">
        <v>-17003</v>
      </c>
      <c r="I13" s="7">
        <v>-35480</v>
      </c>
    </row>
    <row r="14" spans="1:9" ht="9.75" customHeight="1" x14ac:dyDescent="0.3">
      <c r="A14" s="6" t="s">
        <v>22</v>
      </c>
      <c r="B14" s="6"/>
      <c r="C14" s="9">
        <v>670869</v>
      </c>
      <c r="D14" s="8">
        <v>687640</v>
      </c>
      <c r="E14" s="8">
        <v>703863</v>
      </c>
      <c r="F14" s="8">
        <v>756307</v>
      </c>
      <c r="G14" s="8">
        <v>775215</v>
      </c>
      <c r="H14" s="8">
        <v>791548</v>
      </c>
      <c r="I14" s="8">
        <v>4385441</v>
      </c>
    </row>
    <row r="15" spans="1:9" ht="9.75" customHeight="1" x14ac:dyDescent="0.3">
      <c r="A15" s="1" t="s">
        <v>23</v>
      </c>
      <c r="B15" s="1"/>
      <c r="C15" s="9">
        <v>670869</v>
      </c>
      <c r="D15" s="9">
        <v>687640</v>
      </c>
      <c r="E15" s="9">
        <v>703863</v>
      </c>
      <c r="F15" s="9">
        <v>756307</v>
      </c>
      <c r="G15" s="9">
        <v>775215</v>
      </c>
      <c r="H15" s="9">
        <v>791548</v>
      </c>
      <c r="I15" s="9">
        <v>4385441</v>
      </c>
    </row>
    <row r="16" spans="1:9" ht="9.75" customHeight="1" x14ac:dyDescent="0.3"/>
    <row r="17" spans="1:9" ht="9.75" customHeight="1" x14ac:dyDescent="0.3">
      <c r="A17" s="5" t="s">
        <v>24</v>
      </c>
      <c r="B17" s="5"/>
    </row>
    <row r="18" spans="1:9" ht="9" customHeight="1" x14ac:dyDescent="0.3">
      <c r="A18" s="6" t="s">
        <v>25</v>
      </c>
      <c r="B18" s="6"/>
      <c r="C18" s="10">
        <v>34735</v>
      </c>
      <c r="D18" s="7">
        <v>42174</v>
      </c>
      <c r="E18" s="7">
        <v>27672</v>
      </c>
      <c r="F18" s="7">
        <v>8540</v>
      </c>
      <c r="G18" s="7">
        <v>16670</v>
      </c>
      <c r="H18" s="7">
        <v>14125</v>
      </c>
      <c r="I18" s="7">
        <v>143916</v>
      </c>
    </row>
    <row r="19" spans="1:9" ht="9.75" customHeight="1" x14ac:dyDescent="0.3">
      <c r="A19" s="1" t="s">
        <v>26</v>
      </c>
      <c r="B19" s="1"/>
      <c r="C19" s="9">
        <v>34735</v>
      </c>
      <c r="D19" s="9">
        <v>42174</v>
      </c>
      <c r="E19" s="9">
        <v>27672</v>
      </c>
      <c r="F19" s="9">
        <v>8540</v>
      </c>
      <c r="G19" s="9">
        <v>16670</v>
      </c>
      <c r="H19" s="9">
        <v>14125</v>
      </c>
      <c r="I19" s="9">
        <v>143916</v>
      </c>
    </row>
    <row r="20" spans="1:9" ht="9.75" customHeight="1" x14ac:dyDescent="0.3"/>
    <row r="21" spans="1:9" ht="9.75" customHeight="1" x14ac:dyDescent="0.3">
      <c r="A21" s="1" t="s">
        <v>27</v>
      </c>
      <c r="B21" s="1"/>
      <c r="C21" s="10">
        <v>705604</v>
      </c>
      <c r="D21" s="10">
        <v>729815</v>
      </c>
      <c r="E21" s="10">
        <v>731534</v>
      </c>
      <c r="F21" s="10">
        <v>764847</v>
      </c>
      <c r="G21" s="10">
        <v>791884</v>
      </c>
      <c r="H21" s="10">
        <v>805673</v>
      </c>
      <c r="I21" s="10">
        <v>4529357</v>
      </c>
    </row>
    <row r="22" spans="1:9" ht="9.75" customHeight="1" x14ac:dyDescent="0.3"/>
    <row r="23" spans="1:9" ht="9" customHeight="1" x14ac:dyDescent="0.3">
      <c r="A23" s="5" t="s">
        <v>28</v>
      </c>
      <c r="B23" s="5"/>
    </row>
    <row r="24" spans="1:9" ht="9.75" customHeight="1" x14ac:dyDescent="0.3">
      <c r="A24" s="1" t="s">
        <v>29</v>
      </c>
      <c r="B24" s="1"/>
      <c r="C24" s="10">
        <v>90000</v>
      </c>
      <c r="D24" s="7">
        <v>92700</v>
      </c>
      <c r="E24" s="7">
        <v>95481</v>
      </c>
      <c r="F24" s="7">
        <v>98345</v>
      </c>
      <c r="G24" s="7">
        <v>101296</v>
      </c>
      <c r="H24" s="7">
        <v>104335</v>
      </c>
      <c r="I24" s="7">
        <v>582157</v>
      </c>
    </row>
    <row r="25" spans="1:9" ht="9.75" customHeight="1" x14ac:dyDescent="0.3">
      <c r="A25" s="1" t="s">
        <v>30</v>
      </c>
      <c r="B25" s="1"/>
      <c r="C25" s="9">
        <v>90000</v>
      </c>
      <c r="D25" s="9">
        <v>92700</v>
      </c>
      <c r="E25" s="9">
        <v>95481</v>
      </c>
      <c r="F25" s="9">
        <v>98345</v>
      </c>
      <c r="G25" s="9">
        <v>101296</v>
      </c>
      <c r="H25" s="9">
        <v>104335</v>
      </c>
      <c r="I25" s="9">
        <v>582157</v>
      </c>
    </row>
    <row r="26" spans="1:9" ht="9.75" customHeight="1" x14ac:dyDescent="0.3"/>
    <row r="27" spans="1:9" ht="9.75" customHeight="1" x14ac:dyDescent="0.3">
      <c r="A27" s="1" t="s">
        <v>31</v>
      </c>
      <c r="B27" s="1"/>
      <c r="C27" s="10">
        <v>795604</v>
      </c>
      <c r="D27" s="10">
        <v>822515</v>
      </c>
      <c r="E27" s="10">
        <v>827015</v>
      </c>
      <c r="F27" s="10">
        <v>863193</v>
      </c>
      <c r="G27" s="10">
        <v>893180</v>
      </c>
      <c r="H27" s="10">
        <v>910008</v>
      </c>
      <c r="I27" s="10">
        <v>5111514</v>
      </c>
    </row>
    <row r="28" spans="1:9" ht="9" customHeight="1" x14ac:dyDescent="0.3"/>
    <row r="29" spans="1:9" ht="9.75" customHeight="1" x14ac:dyDescent="0.3">
      <c r="A29" s="1" t="s">
        <v>32</v>
      </c>
      <c r="B29" s="1"/>
      <c r="C29" s="10">
        <v>795604</v>
      </c>
      <c r="D29" s="10">
        <v>822515</v>
      </c>
      <c r="E29" s="10">
        <v>827015</v>
      </c>
      <c r="F29" s="10">
        <v>863193</v>
      </c>
      <c r="G29" s="10">
        <v>893180</v>
      </c>
      <c r="H29" s="10">
        <v>910008</v>
      </c>
      <c r="I29" s="10">
        <v>5111514</v>
      </c>
    </row>
    <row r="30" spans="1:9" ht="9.75" customHeight="1" x14ac:dyDescent="0.3"/>
    <row r="31" spans="1:9" ht="9.75" customHeight="1" x14ac:dyDescent="0.3">
      <c r="A31" s="5" t="s">
        <v>33</v>
      </c>
      <c r="B31" s="5"/>
    </row>
    <row r="32" spans="1:9" ht="9.75" customHeight="1" x14ac:dyDescent="0.3">
      <c r="A32" s="1" t="s">
        <v>34</v>
      </c>
      <c r="B32" s="1"/>
      <c r="C32" s="7">
        <v>85000</v>
      </c>
      <c r="D32" s="7">
        <v>87550</v>
      </c>
      <c r="E32" s="7">
        <v>90177</v>
      </c>
      <c r="F32" s="7">
        <v>92882</v>
      </c>
      <c r="G32" s="7">
        <v>95668</v>
      </c>
      <c r="H32" s="7">
        <v>98538</v>
      </c>
      <c r="I32" s="7">
        <v>549815</v>
      </c>
    </row>
    <row r="33" spans="1:9" ht="9" customHeight="1" x14ac:dyDescent="0.3">
      <c r="A33" s="1" t="s">
        <v>35</v>
      </c>
      <c r="B33" s="1"/>
      <c r="C33" s="7">
        <v>29500</v>
      </c>
      <c r="D33" s="7">
        <v>30385</v>
      </c>
      <c r="E33" s="7">
        <v>31297</v>
      </c>
      <c r="F33" s="7">
        <v>32235</v>
      </c>
      <c r="G33" s="7">
        <v>33203</v>
      </c>
      <c r="H33" s="7">
        <v>34199</v>
      </c>
      <c r="I33" s="7">
        <v>190818</v>
      </c>
    </row>
    <row r="34" spans="1:9" ht="9.75" customHeight="1" x14ac:dyDescent="0.3">
      <c r="A34" s="1" t="s">
        <v>36</v>
      </c>
      <c r="B34" s="1"/>
      <c r="C34" s="7">
        <v>76800</v>
      </c>
      <c r="D34" s="7">
        <v>79104</v>
      </c>
      <c r="E34" s="7">
        <v>79965</v>
      </c>
      <c r="F34" s="7">
        <v>83921</v>
      </c>
      <c r="G34" s="7">
        <v>86439</v>
      </c>
      <c r="H34" s="7">
        <v>87641</v>
      </c>
      <c r="I34" s="7">
        <v>493871</v>
      </c>
    </row>
    <row r="35" spans="1:9" ht="9.75" customHeight="1" x14ac:dyDescent="0.3">
      <c r="A35" s="1" t="s">
        <v>37</v>
      </c>
      <c r="B35" s="1"/>
      <c r="C35" s="7">
        <v>30400</v>
      </c>
      <c r="D35" s="7">
        <v>31312</v>
      </c>
      <c r="E35" s="7">
        <v>32251</v>
      </c>
      <c r="F35" s="7">
        <v>33219</v>
      </c>
      <c r="G35" s="7">
        <v>34215</v>
      </c>
      <c r="H35" s="7">
        <v>35242</v>
      </c>
      <c r="I35" s="7">
        <v>196640</v>
      </c>
    </row>
    <row r="36" spans="1:9" ht="9.75" customHeight="1" x14ac:dyDescent="0.3">
      <c r="A36" s="1" t="s">
        <v>38</v>
      </c>
      <c r="B36" s="1"/>
      <c r="C36" s="7">
        <v>26280</v>
      </c>
      <c r="D36" s="7">
        <v>27068</v>
      </c>
      <c r="E36" s="7">
        <v>27880</v>
      </c>
      <c r="F36" s="7">
        <v>28717</v>
      </c>
      <c r="G36" s="7">
        <v>29578</v>
      </c>
      <c r="H36" s="7">
        <v>30466</v>
      </c>
      <c r="I36" s="7">
        <v>169990</v>
      </c>
    </row>
    <row r="37" spans="1:9" ht="9.75" customHeight="1" x14ac:dyDescent="0.3">
      <c r="A37" s="1" t="s">
        <v>39</v>
      </c>
      <c r="B37" s="1"/>
      <c r="C37" s="10">
        <v>13417</v>
      </c>
      <c r="D37" s="7">
        <v>13753</v>
      </c>
      <c r="E37" s="7">
        <v>14077</v>
      </c>
      <c r="F37" s="7">
        <v>15126</v>
      </c>
      <c r="G37" s="7">
        <v>15504</v>
      </c>
      <c r="H37" s="7">
        <v>15831</v>
      </c>
      <c r="I37" s="7">
        <v>87709</v>
      </c>
    </row>
    <row r="38" spans="1:9" ht="9" customHeight="1" x14ac:dyDescent="0.3">
      <c r="A38" s="1" t="s">
        <v>40</v>
      </c>
      <c r="B38" s="1"/>
      <c r="C38" s="9">
        <v>261397</v>
      </c>
      <c r="D38" s="9">
        <v>269172</v>
      </c>
      <c r="E38" s="9">
        <v>275647</v>
      </c>
      <c r="F38" s="9">
        <v>286101</v>
      </c>
      <c r="G38" s="9">
        <v>294608</v>
      </c>
      <c r="H38" s="9">
        <v>301917</v>
      </c>
      <c r="I38" s="9">
        <v>1688842</v>
      </c>
    </row>
    <row r="39" spans="1:9" ht="9.75" customHeight="1" x14ac:dyDescent="0.3"/>
    <row r="40" spans="1:9" ht="9.75" customHeight="1" x14ac:dyDescent="0.3">
      <c r="A40" s="1" t="s">
        <v>41</v>
      </c>
      <c r="B40" s="1"/>
      <c r="C40" s="10">
        <v>534206</v>
      </c>
      <c r="D40" s="10">
        <v>553342</v>
      </c>
      <c r="E40" s="10">
        <v>551368</v>
      </c>
      <c r="F40" s="10">
        <v>577092</v>
      </c>
      <c r="G40" s="10">
        <v>598572</v>
      </c>
      <c r="H40" s="10">
        <v>608091</v>
      </c>
      <c r="I40" s="10">
        <v>3422672</v>
      </c>
    </row>
    <row r="41" spans="1:9" ht="9.75" customHeight="1" x14ac:dyDescent="0.3"/>
    <row r="42" spans="1:9" ht="9.75" customHeight="1" x14ac:dyDescent="0.3">
      <c r="A42" s="5" t="s">
        <v>42</v>
      </c>
      <c r="B42" s="5"/>
    </row>
    <row r="43" spans="1:9" ht="9" customHeight="1" x14ac:dyDescent="0.3">
      <c r="A43" s="6" t="s">
        <v>43</v>
      </c>
      <c r="B43" s="6"/>
      <c r="C43" s="7">
        <v>0</v>
      </c>
      <c r="D43" s="7">
        <v>0</v>
      </c>
      <c r="E43" s="7">
        <v>60471</v>
      </c>
      <c r="F43" s="7">
        <v>79223</v>
      </c>
      <c r="G43" s="7">
        <v>0</v>
      </c>
      <c r="H43" s="7">
        <v>55645</v>
      </c>
      <c r="I43" s="7">
        <v>195339</v>
      </c>
    </row>
    <row r="44" spans="1:9" ht="9.75" customHeight="1" x14ac:dyDescent="0.3">
      <c r="A44" s="6" t="s">
        <v>44</v>
      </c>
      <c r="B44" s="6"/>
      <c r="C44" s="10">
        <v>0</v>
      </c>
      <c r="D44" s="7">
        <v>0</v>
      </c>
      <c r="E44" s="7">
        <v>26607</v>
      </c>
      <c r="F44" s="7">
        <v>34858</v>
      </c>
      <c r="G44" s="7">
        <v>0</v>
      </c>
      <c r="H44" s="7">
        <v>24484</v>
      </c>
      <c r="I44" s="7">
        <v>85949</v>
      </c>
    </row>
    <row r="45" spans="1:9" ht="9.75" customHeight="1" x14ac:dyDescent="0.3">
      <c r="A45" s="1" t="s">
        <v>45</v>
      </c>
      <c r="B45" s="1"/>
      <c r="C45" s="9">
        <v>0</v>
      </c>
      <c r="D45" s="9">
        <v>0</v>
      </c>
      <c r="E45" s="9">
        <v>87079</v>
      </c>
      <c r="F45" s="9">
        <v>114081</v>
      </c>
      <c r="G45" s="9">
        <v>0</v>
      </c>
      <c r="H45" s="9">
        <v>80129</v>
      </c>
      <c r="I45" s="9">
        <v>281288</v>
      </c>
    </row>
    <row r="46" spans="1:9" ht="9.75" customHeight="1" x14ac:dyDescent="0.3"/>
    <row r="47" spans="1:9" ht="9.75" customHeight="1" x14ac:dyDescent="0.3">
      <c r="A47" s="5" t="s">
        <v>46</v>
      </c>
      <c r="B47" s="5"/>
    </row>
    <row r="48" spans="1:9" ht="9" customHeight="1" x14ac:dyDescent="0.3">
      <c r="A48" s="1" t="s">
        <v>47</v>
      </c>
      <c r="B48" s="1"/>
      <c r="C48" s="10">
        <v>9600</v>
      </c>
      <c r="D48" s="7">
        <v>9888</v>
      </c>
      <c r="E48" s="7">
        <v>10185</v>
      </c>
      <c r="F48" s="7">
        <v>10490</v>
      </c>
      <c r="G48" s="7">
        <v>10805</v>
      </c>
      <c r="H48" s="7">
        <v>11129</v>
      </c>
      <c r="I48" s="7">
        <v>62097</v>
      </c>
    </row>
    <row r="49" spans="1:9" ht="9.75" customHeight="1" x14ac:dyDescent="0.3">
      <c r="A49" s="1" t="s">
        <v>48</v>
      </c>
      <c r="B49" s="1"/>
      <c r="C49" s="9">
        <v>9600</v>
      </c>
      <c r="D49" s="9">
        <v>9888</v>
      </c>
      <c r="E49" s="9">
        <v>10185</v>
      </c>
      <c r="F49" s="9">
        <v>10490</v>
      </c>
      <c r="G49" s="9">
        <v>10805</v>
      </c>
      <c r="H49" s="9">
        <v>11129</v>
      </c>
      <c r="I49" s="9">
        <v>62097</v>
      </c>
    </row>
    <row r="50" spans="1:9" ht="9.75" customHeight="1" x14ac:dyDescent="0.3"/>
    <row r="51" spans="1:9" ht="9.75" customHeight="1" x14ac:dyDescent="0.3">
      <c r="A51" s="1" t="s">
        <v>49</v>
      </c>
      <c r="B51" s="1"/>
      <c r="C51" s="10">
        <v>9600</v>
      </c>
      <c r="D51" s="10">
        <v>9888</v>
      </c>
      <c r="E51" s="10">
        <v>97263</v>
      </c>
      <c r="F51" s="10">
        <v>124571</v>
      </c>
      <c r="G51" s="10">
        <v>10805</v>
      </c>
      <c r="H51" s="10">
        <v>91258</v>
      </c>
      <c r="I51" s="10">
        <v>343385</v>
      </c>
    </row>
    <row r="52" spans="1:9" ht="9.75" customHeight="1" x14ac:dyDescent="0.3"/>
    <row r="53" spans="1:9" ht="9" customHeight="1" x14ac:dyDescent="0.3">
      <c r="A53" s="1" t="s">
        <v>50</v>
      </c>
      <c r="B53" s="1"/>
      <c r="C53" s="10">
        <v>524606</v>
      </c>
      <c r="D53" s="10">
        <v>543454</v>
      </c>
      <c r="E53" s="10">
        <v>454105</v>
      </c>
      <c r="F53" s="10">
        <v>452521</v>
      </c>
      <c r="G53" s="10">
        <v>587767</v>
      </c>
      <c r="H53" s="10">
        <v>516833</v>
      </c>
      <c r="I53" s="10">
        <v>3079287</v>
      </c>
    </row>
    <row r="54" spans="1:9" ht="9.75" customHeight="1" x14ac:dyDescent="0.3"/>
    <row r="55" spans="1:9" ht="9.75" customHeight="1" x14ac:dyDescent="0.3">
      <c r="A55" s="5" t="s">
        <v>51</v>
      </c>
      <c r="B55" s="5"/>
    </row>
    <row r="56" spans="1:9" ht="9.75" customHeight="1" x14ac:dyDescent="0.3">
      <c r="A56" s="6" t="s">
        <v>52</v>
      </c>
      <c r="B56" s="6"/>
    </row>
    <row r="57" spans="1:9" ht="9.75" customHeight="1" x14ac:dyDescent="0.3">
      <c r="A57" s="6" t="s">
        <v>53</v>
      </c>
      <c r="B57" s="6"/>
      <c r="C57" s="10">
        <v>253000</v>
      </c>
      <c r="D57" s="7">
        <v>248224</v>
      </c>
      <c r="E57" s="7">
        <v>243173</v>
      </c>
      <c r="F57" s="7">
        <v>237832</v>
      </c>
      <c r="G57" s="7">
        <v>232183</v>
      </c>
      <c r="H57" s="7">
        <v>0</v>
      </c>
      <c r="I57" s="7">
        <v>1214412</v>
      </c>
    </row>
    <row r="58" spans="1:9" ht="9" customHeight="1" x14ac:dyDescent="0.3">
      <c r="A58" s="1" t="s">
        <v>54</v>
      </c>
      <c r="B58" s="1"/>
      <c r="C58" s="9">
        <v>253000</v>
      </c>
      <c r="D58" s="9">
        <v>248224</v>
      </c>
      <c r="E58" s="9">
        <v>243173</v>
      </c>
      <c r="F58" s="9">
        <v>237832</v>
      </c>
      <c r="G58" s="9">
        <v>232183</v>
      </c>
      <c r="H58" s="9">
        <v>0</v>
      </c>
      <c r="I58" s="9">
        <v>1214412</v>
      </c>
    </row>
    <row r="59" spans="1:9" ht="9.75" customHeight="1" x14ac:dyDescent="0.3"/>
    <row r="60" spans="1:9" ht="9.75" customHeight="1" x14ac:dyDescent="0.3">
      <c r="A60" s="6" t="s">
        <v>55</v>
      </c>
      <c r="B60" s="6"/>
    </row>
    <row r="61" spans="1:9" ht="9.75" customHeight="1" x14ac:dyDescent="0.3">
      <c r="A61" s="6" t="s">
        <v>53</v>
      </c>
      <c r="B61" s="6"/>
      <c r="C61" s="10">
        <v>83064</v>
      </c>
      <c r="D61" s="7">
        <v>87840</v>
      </c>
      <c r="E61" s="7">
        <v>92891</v>
      </c>
      <c r="F61" s="7">
        <v>98232</v>
      </c>
      <c r="G61" s="7">
        <v>103881</v>
      </c>
      <c r="H61" s="7">
        <v>0</v>
      </c>
      <c r="I61" s="7">
        <v>465908</v>
      </c>
    </row>
    <row r="62" spans="1:9" ht="9.75" customHeight="1" x14ac:dyDescent="0.3">
      <c r="A62" s="1" t="s">
        <v>56</v>
      </c>
      <c r="B62" s="1"/>
      <c r="C62" s="9">
        <v>83064</v>
      </c>
      <c r="D62" s="9">
        <v>87840</v>
      </c>
      <c r="E62" s="9">
        <v>92891</v>
      </c>
      <c r="F62" s="9">
        <v>98232</v>
      </c>
      <c r="G62" s="9">
        <v>103881</v>
      </c>
      <c r="H62" s="9">
        <v>0</v>
      </c>
      <c r="I62" s="9">
        <v>465908</v>
      </c>
    </row>
    <row r="63" spans="1:9" ht="9" customHeight="1" x14ac:dyDescent="0.3"/>
    <row r="64" spans="1:9" ht="9.75" customHeight="1" x14ac:dyDescent="0.3">
      <c r="A64" s="1" t="s">
        <v>57</v>
      </c>
      <c r="B64" s="1"/>
      <c r="C64" s="9">
        <v>336064</v>
      </c>
      <c r="D64" s="9">
        <v>336064</v>
      </c>
      <c r="E64" s="9">
        <v>336064</v>
      </c>
      <c r="F64" s="9">
        <v>336064</v>
      </c>
      <c r="G64" s="9">
        <v>336064</v>
      </c>
      <c r="H64" s="9">
        <v>0</v>
      </c>
      <c r="I64" s="9">
        <v>1680320</v>
      </c>
    </row>
    <row r="65" spans="1:9" ht="9.75" customHeight="1" x14ac:dyDescent="0.3"/>
    <row r="66" spans="1:9" ht="9.75" customHeight="1" x14ac:dyDescent="0.3">
      <c r="A66" s="1" t="s">
        <v>58</v>
      </c>
      <c r="B66" s="1"/>
      <c r="C66" s="10">
        <v>188542</v>
      </c>
      <c r="D66" s="10">
        <v>207390</v>
      </c>
      <c r="E66" s="10">
        <v>118041</v>
      </c>
      <c r="F66" s="10">
        <v>116457</v>
      </c>
      <c r="G66" s="10">
        <v>251703</v>
      </c>
      <c r="H66" s="10">
        <v>516833</v>
      </c>
      <c r="I66" s="10">
        <v>1398967</v>
      </c>
    </row>
    <row r="67" spans="1:9" ht="9.75" customHeight="1" x14ac:dyDescent="0.3"/>
    <row r="68" spans="1:9" ht="9" customHeight="1" thickBot="1" x14ac:dyDescent="0.35">
      <c r="A68" s="1" t="s">
        <v>59</v>
      </c>
      <c r="B68" s="1"/>
      <c r="C68" s="50">
        <v>188542</v>
      </c>
      <c r="D68" s="50">
        <v>207390</v>
      </c>
      <c r="E68" s="50">
        <v>118041</v>
      </c>
      <c r="F68" s="50">
        <v>116457</v>
      </c>
      <c r="G68" s="50">
        <v>251703</v>
      </c>
      <c r="H68" s="50">
        <v>516833</v>
      </c>
      <c r="I68" s="50">
        <v>1398967</v>
      </c>
    </row>
    <row r="69" spans="1:9" ht="0.75" customHeight="1" thickBot="1" x14ac:dyDescent="0.35">
      <c r="C69" s="50"/>
      <c r="D69" s="50"/>
      <c r="E69" s="50"/>
      <c r="F69" s="50"/>
      <c r="G69" s="50"/>
      <c r="H69" s="50"/>
      <c r="I69" s="50"/>
    </row>
    <row r="70" spans="1:9" ht="11.25" customHeight="1" x14ac:dyDescent="0.3">
      <c r="A70" s="51" t="s">
        <v>60</v>
      </c>
      <c r="B70" s="51"/>
      <c r="C70" s="51"/>
    </row>
  </sheetData>
  <mergeCells count="12">
    <mergeCell ref="A70:C70"/>
    <mergeCell ref="D68:D69"/>
    <mergeCell ref="E68:E69"/>
    <mergeCell ref="F68:F69"/>
    <mergeCell ref="G68:G69"/>
    <mergeCell ref="C68:C69"/>
    <mergeCell ref="A1:I1"/>
    <mergeCell ref="A2:I2"/>
    <mergeCell ref="A3:I3"/>
    <mergeCell ref="A4:I4"/>
    <mergeCell ref="I68:I69"/>
    <mergeCell ref="H68:H69"/>
  </mergeCells>
  <pageMargins left="0.17000000178813901" right="0.15999999642372101" top="0.40000000596046398" bottom="0.31999999284744302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J34" sqref="J34"/>
    </sheetView>
  </sheetViews>
  <sheetFormatPr defaultRowHeight="14.4" x14ac:dyDescent="0.3"/>
  <cols>
    <col min="1" max="1" width="35.6640625" customWidth="1"/>
    <col min="2" max="2" width="13" customWidth="1"/>
    <col min="3" max="7" width="13.33203125" customWidth="1"/>
  </cols>
  <sheetData>
    <row r="1" spans="1:7" x14ac:dyDescent="0.3">
      <c r="A1" s="15"/>
      <c r="B1" s="15">
        <v>0</v>
      </c>
      <c r="C1" s="15">
        <f t="shared" ref="C1:G1" si="0">B1+1</f>
        <v>1</v>
      </c>
      <c r="D1" s="15">
        <f t="shared" si="0"/>
        <v>2</v>
      </c>
      <c r="E1" s="15">
        <f t="shared" si="0"/>
        <v>3</v>
      </c>
      <c r="F1" s="15">
        <f t="shared" si="0"/>
        <v>4</v>
      </c>
      <c r="G1" s="15">
        <f t="shared" si="0"/>
        <v>5</v>
      </c>
    </row>
    <row r="2" spans="1:7" x14ac:dyDescent="0.3">
      <c r="A2" s="15"/>
      <c r="B2" s="15"/>
      <c r="C2" s="15"/>
      <c r="D2" s="15"/>
      <c r="E2" s="15"/>
      <c r="F2" s="15"/>
      <c r="G2" s="15"/>
    </row>
    <row r="3" spans="1:7" x14ac:dyDescent="0.3">
      <c r="A3" s="36"/>
      <c r="B3" s="15"/>
      <c r="C3" s="16">
        <f>[1]NOI!C3</f>
        <v>43831</v>
      </c>
      <c r="D3" s="16">
        <f>[1]NOI!D3</f>
        <v>44197</v>
      </c>
      <c r="E3" s="16">
        <f>[1]NOI!E3</f>
        <v>44562</v>
      </c>
      <c r="F3" s="16">
        <f>[1]NOI!F3</f>
        <v>44927</v>
      </c>
      <c r="G3" s="16">
        <f>[1]NOI!G3</f>
        <v>45292</v>
      </c>
    </row>
    <row r="4" spans="1:7" x14ac:dyDescent="0.3">
      <c r="A4" s="21" t="s">
        <v>116</v>
      </c>
      <c r="B4" s="15"/>
      <c r="C4" s="16"/>
      <c r="D4" s="16"/>
      <c r="E4" s="16"/>
      <c r="F4" s="16"/>
      <c r="G4" s="16"/>
    </row>
    <row r="5" spans="1:7" x14ac:dyDescent="0.3">
      <c r="A5" s="12" t="s">
        <v>79</v>
      </c>
      <c r="B5" s="20"/>
      <c r="C5" s="20">
        <f>BTCF_Max!C68</f>
        <v>188542</v>
      </c>
      <c r="D5" s="20">
        <f>BTCF_Max!D68</f>
        <v>207390</v>
      </c>
      <c r="E5" s="20">
        <f>BTCF_Max!E68</f>
        <v>118041</v>
      </c>
      <c r="F5" s="20">
        <f>BTCF_Max!F68</f>
        <v>116457</v>
      </c>
      <c r="G5" s="20">
        <f>BTCF_Max!G68</f>
        <v>251703</v>
      </c>
    </row>
    <row r="6" spans="1:7" x14ac:dyDescent="0.3">
      <c r="A6" s="12" t="s">
        <v>84</v>
      </c>
      <c r="B6" s="20">
        <f>-Data_Max!G9*Data_Max!G4</f>
        <v>-66000</v>
      </c>
      <c r="C6" s="20"/>
      <c r="D6" s="20"/>
      <c r="E6" s="20"/>
      <c r="F6" s="20"/>
      <c r="G6" s="20"/>
    </row>
    <row r="7" spans="1:7" x14ac:dyDescent="0.3">
      <c r="A7" s="12" t="s">
        <v>80</v>
      </c>
      <c r="B7" s="20"/>
      <c r="C7" s="20"/>
      <c r="D7" s="20"/>
      <c r="E7" s="20"/>
      <c r="F7" s="20"/>
      <c r="G7" s="20">
        <v>5212476.8178117601</v>
      </c>
    </row>
    <row r="8" spans="1:7" x14ac:dyDescent="0.3">
      <c r="A8" s="12" t="s">
        <v>83</v>
      </c>
      <c r="B8" s="20">
        <f>-Data_Max!C4+Data_Max!G4+ATCF_Max!B6</f>
        <v>-2566000</v>
      </c>
      <c r="C8" s="20">
        <f>C5+C7</f>
        <v>188542</v>
      </c>
      <c r="D8" s="20">
        <f t="shared" ref="D8:G8" si="1">D5+D7</f>
        <v>207390</v>
      </c>
      <c r="E8" s="20">
        <f t="shared" si="1"/>
        <v>118041</v>
      </c>
      <c r="F8" s="20">
        <f t="shared" si="1"/>
        <v>116457</v>
      </c>
      <c r="G8" s="20">
        <f t="shared" si="1"/>
        <v>5464179.8178117601</v>
      </c>
    </row>
    <row r="9" spans="1:7" x14ac:dyDescent="0.3">
      <c r="A9" s="12" t="s">
        <v>115</v>
      </c>
      <c r="B9" s="37">
        <f>IRR(B8:G8)</f>
        <v>0.20570047705218775</v>
      </c>
      <c r="C9" s="20"/>
      <c r="D9" s="20"/>
      <c r="E9" s="20"/>
      <c r="F9" s="20"/>
      <c r="G9" s="20"/>
    </row>
    <row r="10" spans="1:7" x14ac:dyDescent="0.3">
      <c r="A10" s="12"/>
      <c r="B10" s="37"/>
      <c r="C10" s="20"/>
      <c r="D10" s="20"/>
      <c r="E10" s="20"/>
      <c r="F10" s="20"/>
      <c r="G10" s="20"/>
    </row>
    <row r="11" spans="1:7" x14ac:dyDescent="0.3">
      <c r="A11" s="11" t="s">
        <v>117</v>
      </c>
      <c r="B11" s="17"/>
      <c r="C11" s="17"/>
      <c r="D11" s="17"/>
      <c r="E11" s="17"/>
      <c r="F11" s="17"/>
      <c r="G11" s="17"/>
    </row>
    <row r="12" spans="1:7" ht="15" customHeight="1" x14ac:dyDescent="0.3">
      <c r="A12" s="12" t="s">
        <v>71</v>
      </c>
      <c r="B12" s="20"/>
      <c r="C12" s="20">
        <f>C5-C26</f>
        <v>134563.07948717949</v>
      </c>
      <c r="D12" s="20">
        <f t="shared" ref="D12:G12" si="2">D5-D26</f>
        <v>145387.95948717947</v>
      </c>
      <c r="E12" s="20">
        <f t="shared" si="2"/>
        <v>58591.964487179503</v>
      </c>
      <c r="F12" s="20">
        <f t="shared" si="2"/>
        <v>50790.961153846161</v>
      </c>
      <c r="G12" s="20">
        <f t="shared" si="2"/>
        <v>176919.98615384614</v>
      </c>
    </row>
    <row r="13" spans="1:7" x14ac:dyDescent="0.3">
      <c r="A13" s="12" t="s">
        <v>81</v>
      </c>
      <c r="B13" s="20"/>
      <c r="C13" s="20"/>
      <c r="D13" s="20"/>
      <c r="E13" s="20"/>
      <c r="F13" s="20"/>
      <c r="G13" s="20">
        <f>G7-G41</f>
        <v>4628583.7132237675</v>
      </c>
    </row>
    <row r="14" spans="1:7" x14ac:dyDescent="0.3">
      <c r="A14" s="12" t="s">
        <v>82</v>
      </c>
      <c r="B14" s="39">
        <f>B8</f>
        <v>-2566000</v>
      </c>
      <c r="C14" s="38">
        <f>C12+C13</f>
        <v>134563.07948717949</v>
      </c>
      <c r="D14" s="38">
        <f t="shared" ref="D14:G14" si="3">D12+D13</f>
        <v>145387.95948717947</v>
      </c>
      <c r="E14" s="38">
        <f t="shared" si="3"/>
        <v>58591.964487179503</v>
      </c>
      <c r="F14" s="38">
        <f t="shared" si="3"/>
        <v>50790.961153846161</v>
      </c>
      <c r="G14" s="38">
        <f t="shared" si="3"/>
        <v>4805503.6993776131</v>
      </c>
    </row>
    <row r="15" spans="1:7" x14ac:dyDescent="0.3">
      <c r="A15" s="12" t="s">
        <v>118</v>
      </c>
      <c r="B15" s="37">
        <f>IRR(B14:G14)</f>
        <v>0.16112495852915432</v>
      </c>
      <c r="C15" s="38"/>
      <c r="D15" s="38"/>
      <c r="E15" s="38"/>
      <c r="F15" s="38"/>
      <c r="G15" s="20"/>
    </row>
    <row r="16" spans="1:7" x14ac:dyDescent="0.3">
      <c r="A16" s="11"/>
      <c r="B16" s="18"/>
      <c r="C16" s="19"/>
      <c r="D16" s="19"/>
      <c r="E16" s="19"/>
      <c r="F16" s="19"/>
      <c r="G16" s="17"/>
    </row>
    <row r="17" spans="1:8" x14ac:dyDescent="0.3">
      <c r="A17" s="11" t="s">
        <v>61</v>
      </c>
      <c r="B17" s="17"/>
      <c r="C17" s="17"/>
      <c r="D17" s="19"/>
      <c r="E17" s="19"/>
      <c r="F17" s="19"/>
      <c r="G17" s="19"/>
    </row>
    <row r="18" spans="1:8" x14ac:dyDescent="0.3">
      <c r="A18" s="12" t="s">
        <v>62</v>
      </c>
      <c r="B18" s="20"/>
      <c r="C18" s="20">
        <f>BTCF_Max!C40</f>
        <v>534206</v>
      </c>
      <c r="D18" s="20">
        <f>BTCF_Max!D40</f>
        <v>553342</v>
      </c>
      <c r="E18" s="20">
        <f>BTCF_Max!E40</f>
        <v>551368</v>
      </c>
      <c r="F18" s="20">
        <f>BTCF_Max!F40</f>
        <v>577092</v>
      </c>
      <c r="G18" s="20">
        <f>BTCF_Max!G40</f>
        <v>598572</v>
      </c>
    </row>
    <row r="19" spans="1:8" x14ac:dyDescent="0.3">
      <c r="A19" s="12" t="s">
        <v>63</v>
      </c>
      <c r="B19" s="20"/>
      <c r="C19" s="20">
        <f>BTCF_Max!C58</f>
        <v>253000</v>
      </c>
      <c r="D19" s="20">
        <f>BTCF_Max!D58</f>
        <v>248224</v>
      </c>
      <c r="E19" s="20">
        <f>BTCF_Max!E58</f>
        <v>243173</v>
      </c>
      <c r="F19" s="20">
        <f>BTCF_Max!F58</f>
        <v>237832</v>
      </c>
      <c r="G19" s="20">
        <f>BTCF_Max!G58</f>
        <v>232183</v>
      </c>
      <c r="H19" s="20"/>
    </row>
    <row r="20" spans="1:8" x14ac:dyDescent="0.3">
      <c r="A20" s="12" t="s">
        <v>64</v>
      </c>
      <c r="B20" s="20"/>
      <c r="C20" s="20">
        <f>-B6/Data_Max!G7</f>
        <v>13200</v>
      </c>
      <c r="D20" s="20">
        <f>C20</f>
        <v>13200</v>
      </c>
      <c r="E20" s="20">
        <f t="shared" ref="E20:G20" si="4">D20</f>
        <v>13200</v>
      </c>
      <c r="F20" s="20">
        <f t="shared" si="4"/>
        <v>13200</v>
      </c>
      <c r="G20" s="20">
        <f t="shared" si="4"/>
        <v>13200</v>
      </c>
    </row>
    <row r="21" spans="1:8" x14ac:dyDescent="0.3">
      <c r="A21" s="12" t="s">
        <v>65</v>
      </c>
      <c r="B21" s="20"/>
      <c r="C21" s="20">
        <f>Data_Max!G17/Data_Max!G18</f>
        <v>112820.51282051283</v>
      </c>
      <c r="D21" s="20">
        <f>C21</f>
        <v>112820.51282051283</v>
      </c>
      <c r="E21" s="20">
        <f t="shared" ref="E21:G21" si="5">D21</f>
        <v>112820.51282051283</v>
      </c>
      <c r="F21" s="20">
        <f t="shared" si="5"/>
        <v>112820.51282051283</v>
      </c>
      <c r="G21" s="20">
        <f t="shared" si="5"/>
        <v>112820.51282051283</v>
      </c>
    </row>
    <row r="22" spans="1:8" x14ac:dyDescent="0.3">
      <c r="A22" s="12" t="s">
        <v>66</v>
      </c>
      <c r="B22" s="20"/>
      <c r="C22" s="20">
        <f>BTCF_Max!$C$49/Data_Max!$G$19</f>
        <v>960</v>
      </c>
      <c r="D22" s="20">
        <f>C22+BTCF_Max!D48/Data_Max!G19</f>
        <v>1948.8</v>
      </c>
      <c r="E22" s="20">
        <f>D22+BTCF_Max!E48/Data_Max!G19</f>
        <v>2967.3</v>
      </c>
      <c r="F22" s="20">
        <f>E22+BTCF_Max!F49/Data_Max!G19</f>
        <v>4016.3</v>
      </c>
      <c r="G22" s="20">
        <f>F22+BTCF_Max!G49/Data_Max!G19</f>
        <v>5096.8</v>
      </c>
    </row>
    <row r="23" spans="1:8" x14ac:dyDescent="0.3">
      <c r="A23" s="12" t="s">
        <v>67</v>
      </c>
      <c r="B23" s="20"/>
      <c r="C23" s="20">
        <v>0</v>
      </c>
      <c r="D23" s="20">
        <v>0</v>
      </c>
      <c r="E23" s="20">
        <f>BTCF_Max!E43/Data_Max!$G$20</f>
        <v>4031.4</v>
      </c>
      <c r="F23" s="20">
        <f>E23+BTCF_Max!F43/Data_Max!$G$20</f>
        <v>9312.9333333333343</v>
      </c>
      <c r="G23" s="20">
        <f>F23</f>
        <v>9312.9333333333343</v>
      </c>
    </row>
    <row r="24" spans="1:8" x14ac:dyDescent="0.3">
      <c r="A24" s="12" t="s">
        <v>68</v>
      </c>
      <c r="B24" s="20"/>
      <c r="C24" s="20">
        <v>0</v>
      </c>
      <c r="D24" s="20">
        <v>0</v>
      </c>
      <c r="E24" s="20">
        <f>BTCF_Max!E44/Data_Max!$G$21</f>
        <v>5321.4</v>
      </c>
      <c r="F24" s="20">
        <f>E24+BTCF_Max!F44/Data_Max!$G$21</f>
        <v>12293</v>
      </c>
      <c r="G24" s="20">
        <f>F24</f>
        <v>12293</v>
      </c>
    </row>
    <row r="25" spans="1:8" x14ac:dyDescent="0.3">
      <c r="A25" s="12" t="s">
        <v>69</v>
      </c>
      <c r="B25" s="20"/>
      <c r="C25" s="20">
        <f>C18-SUM(C19:C24)</f>
        <v>154225.48717948719</v>
      </c>
      <c r="D25" s="20">
        <f t="shared" ref="D25:G25" si="6">D18-SUM(D19:D24)</f>
        <v>177148.6871794872</v>
      </c>
      <c r="E25" s="20">
        <f t="shared" si="6"/>
        <v>169854.38717948715</v>
      </c>
      <c r="F25" s="20">
        <f t="shared" si="6"/>
        <v>187617.25384615385</v>
      </c>
      <c r="G25" s="20">
        <f t="shared" si="6"/>
        <v>213665.75384615385</v>
      </c>
    </row>
    <row r="26" spans="1:8" x14ac:dyDescent="0.3">
      <c r="A26" s="12" t="s">
        <v>70</v>
      </c>
      <c r="B26" s="20"/>
      <c r="C26" s="20">
        <f>C25*Data_Max!$G$12</f>
        <v>53978.920512820514</v>
      </c>
      <c r="D26" s="20">
        <f>D25*Data_Max!$G$12</f>
        <v>62002.040512820517</v>
      </c>
      <c r="E26" s="20">
        <f>E25*Data_Max!$G$12</f>
        <v>59449.035512820497</v>
      </c>
      <c r="F26" s="20">
        <f>F25*Data_Max!$G$12</f>
        <v>65666.038846153839</v>
      </c>
      <c r="G26" s="20">
        <f>G25*Data_Max!$G$12</f>
        <v>74783.013846153844</v>
      </c>
    </row>
    <row r="27" spans="1:8" x14ac:dyDescent="0.3">
      <c r="A27" s="12"/>
      <c r="B27" s="20"/>
      <c r="C27" s="20"/>
      <c r="D27" s="20"/>
      <c r="E27" s="20"/>
      <c r="F27" s="20"/>
      <c r="G27" s="20"/>
    </row>
    <row r="28" spans="1:8" x14ac:dyDescent="0.3">
      <c r="A28" s="14" t="s">
        <v>72</v>
      </c>
      <c r="B28" s="20"/>
      <c r="C28" s="20"/>
      <c r="D28" s="20"/>
      <c r="E28" s="20"/>
      <c r="F28" s="20"/>
      <c r="G28" s="20"/>
    </row>
    <row r="29" spans="1:8" x14ac:dyDescent="0.3">
      <c r="A29" s="13" t="s">
        <v>119</v>
      </c>
      <c r="B29" s="19"/>
      <c r="C29" s="40"/>
      <c r="D29" s="40"/>
      <c r="E29" s="40"/>
      <c r="F29" s="40"/>
      <c r="G29" s="40">
        <f>Data_Max!C4</f>
        <v>6900000</v>
      </c>
    </row>
    <row r="30" spans="1:8" x14ac:dyDescent="0.3">
      <c r="A30" s="13" t="s">
        <v>73</v>
      </c>
      <c r="B30" s="19"/>
      <c r="C30" s="20"/>
      <c r="D30" s="40"/>
      <c r="E30" s="40"/>
      <c r="F30" s="40"/>
      <c r="G30" s="40">
        <f>-(SUM(C21:G21)+SUM(C22:G22))</f>
        <v>-579091.76410256408</v>
      </c>
    </row>
    <row r="31" spans="1:8" x14ac:dyDescent="0.3">
      <c r="A31" s="13" t="s">
        <v>74</v>
      </c>
      <c r="B31" s="20"/>
      <c r="C31" s="20"/>
      <c r="D31" s="20"/>
      <c r="E31" s="20"/>
      <c r="F31" s="20"/>
      <c r="G31" s="20">
        <f>SUM(BTCF_Max!C49:G49)</f>
        <v>50968</v>
      </c>
    </row>
    <row r="32" spans="1:8" x14ac:dyDescent="0.3">
      <c r="A32" s="13" t="s">
        <v>75</v>
      </c>
      <c r="B32" s="20"/>
      <c r="C32" s="20"/>
      <c r="D32" s="20"/>
      <c r="E32" s="20"/>
      <c r="F32" s="20"/>
      <c r="G32" s="20">
        <f>G29+G30+G31</f>
        <v>6371876.2358974358</v>
      </c>
    </row>
    <row r="33" spans="1:7" x14ac:dyDescent="0.3">
      <c r="A33" s="12"/>
      <c r="B33" s="20"/>
      <c r="C33" s="20"/>
      <c r="D33" s="20"/>
      <c r="E33" s="40"/>
      <c r="F33" s="40"/>
      <c r="G33" s="40"/>
    </row>
    <row r="34" spans="1:7" x14ac:dyDescent="0.3">
      <c r="A34" s="13" t="s">
        <v>121</v>
      </c>
      <c r="B34" s="19"/>
      <c r="C34" s="40"/>
      <c r="D34" s="40"/>
      <c r="E34" s="40"/>
      <c r="F34" s="40"/>
      <c r="G34" s="40">
        <f>9146568.81781176-G32</f>
        <v>2774692.5819143234</v>
      </c>
    </row>
    <row r="35" spans="1:7" x14ac:dyDescent="0.3">
      <c r="A35" s="13" t="s">
        <v>73</v>
      </c>
      <c r="B35" s="19"/>
      <c r="C35" s="40"/>
      <c r="D35" s="40"/>
      <c r="E35" s="40"/>
      <c r="F35" s="40"/>
      <c r="G35" s="40">
        <f>-G30</f>
        <v>579091.76410256408</v>
      </c>
    </row>
    <row r="36" spans="1:7" x14ac:dyDescent="0.3">
      <c r="A36" s="13" t="s">
        <v>76</v>
      </c>
      <c r="B36" s="17"/>
      <c r="C36" s="20"/>
      <c r="D36" s="20"/>
      <c r="E36" s="20"/>
      <c r="F36" s="20"/>
      <c r="G36" s="20">
        <f>G34-G35</f>
        <v>2195600.8178117592</v>
      </c>
    </row>
    <row r="37" spans="1:7" x14ac:dyDescent="0.3">
      <c r="B37" s="19"/>
      <c r="C37" s="40"/>
      <c r="D37" s="40"/>
      <c r="E37" s="40"/>
      <c r="F37" s="40"/>
      <c r="G37" s="40"/>
    </row>
    <row r="38" spans="1:7" x14ac:dyDescent="0.3">
      <c r="A38" s="12" t="s">
        <v>70</v>
      </c>
      <c r="B38" s="17"/>
      <c r="C38" s="20"/>
      <c r="D38" s="20"/>
      <c r="E38" s="20"/>
      <c r="F38" s="20"/>
      <c r="G38" s="20"/>
    </row>
    <row r="39" spans="1:7" x14ac:dyDescent="0.3">
      <c r="A39" s="13" t="s">
        <v>77</v>
      </c>
      <c r="C39" s="41"/>
      <c r="D39" s="41"/>
      <c r="E39" s="41"/>
      <c r="F39" s="41"/>
      <c r="G39" s="40">
        <f>G36*Data_Max!G13</f>
        <v>439120.16356235184</v>
      </c>
    </row>
    <row r="40" spans="1:7" x14ac:dyDescent="0.3">
      <c r="A40" s="13" t="s">
        <v>78</v>
      </c>
      <c r="C40" s="41"/>
      <c r="D40" s="40"/>
      <c r="E40" s="40"/>
      <c r="F40" s="40"/>
      <c r="G40" s="40">
        <f>G35*Data_Max!G14</f>
        <v>144772.94102564102</v>
      </c>
    </row>
    <row r="41" spans="1:7" x14ac:dyDescent="0.3">
      <c r="A41" s="13" t="s">
        <v>120</v>
      </c>
      <c r="C41" s="41"/>
      <c r="D41" s="40"/>
      <c r="E41" s="40"/>
      <c r="F41" s="40"/>
      <c r="G41" s="40">
        <f>G39+G40</f>
        <v>583893.10458799289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21" sqref="G21"/>
    </sheetView>
  </sheetViews>
  <sheetFormatPr defaultRowHeight="14.4" x14ac:dyDescent="0.3"/>
  <cols>
    <col min="1" max="1" width="32.6640625" customWidth="1"/>
    <col min="2" max="2" width="30.6640625" customWidth="1"/>
    <col min="3" max="3" width="15.6640625" customWidth="1"/>
    <col min="5" max="5" width="32.6640625" customWidth="1"/>
    <col min="6" max="6" width="30.6640625" customWidth="1"/>
    <col min="7" max="7" width="15.6640625" customWidth="1"/>
  </cols>
  <sheetData>
    <row r="1" spans="1:7" ht="17.399999999999999" x14ac:dyDescent="0.3">
      <c r="A1" s="47" t="s">
        <v>122</v>
      </c>
      <c r="B1" s="47"/>
      <c r="C1" s="47"/>
      <c r="D1" s="47"/>
      <c r="E1" s="47"/>
      <c r="F1" s="47"/>
      <c r="G1" s="47"/>
    </row>
    <row r="2" spans="1:7" ht="17.399999999999999" x14ac:dyDescent="0.3">
      <c r="A2" s="42"/>
      <c r="B2" s="42"/>
      <c r="C2" s="23"/>
    </row>
    <row r="3" spans="1:7" x14ac:dyDescent="0.3">
      <c r="A3" s="14" t="s">
        <v>86</v>
      </c>
      <c r="B3" s="24"/>
      <c r="C3" s="25"/>
      <c r="E3" s="11" t="s">
        <v>94</v>
      </c>
      <c r="G3" s="25"/>
    </row>
    <row r="4" spans="1:7" x14ac:dyDescent="0.3">
      <c r="A4" s="13" t="s">
        <v>87</v>
      </c>
      <c r="B4" s="13"/>
      <c r="C4" s="25">
        <v>8750000</v>
      </c>
      <c r="E4" s="11" t="s">
        <v>95</v>
      </c>
      <c r="F4" s="13"/>
      <c r="G4" s="25">
        <v>4789124</v>
      </c>
    </row>
    <row r="5" spans="1:7" x14ac:dyDescent="0.3">
      <c r="A5" s="13" t="s">
        <v>154</v>
      </c>
      <c r="B5" s="27"/>
      <c r="C5" s="28">
        <v>0.12</v>
      </c>
      <c r="E5" s="24" t="s">
        <v>97</v>
      </c>
      <c r="F5" s="31"/>
      <c r="G5" s="28">
        <v>5.7500000000000002E-2</v>
      </c>
    </row>
    <row r="6" spans="1:7" x14ac:dyDescent="0.3">
      <c r="A6" s="24" t="s">
        <v>88</v>
      </c>
      <c r="B6" s="13" t="s">
        <v>155</v>
      </c>
      <c r="C6" s="25"/>
      <c r="E6" s="24" t="s">
        <v>98</v>
      </c>
      <c r="F6" s="13" t="s">
        <v>123</v>
      </c>
      <c r="G6" s="33">
        <v>300</v>
      </c>
    </row>
    <row r="7" spans="1:7" x14ac:dyDescent="0.3">
      <c r="A7" s="24" t="s">
        <v>92</v>
      </c>
      <c r="B7" s="29"/>
      <c r="C7" s="25">
        <v>33000</v>
      </c>
      <c r="E7" t="s">
        <v>100</v>
      </c>
      <c r="F7" s="13"/>
      <c r="G7" s="33">
        <v>5</v>
      </c>
    </row>
    <row r="8" spans="1:7" x14ac:dyDescent="0.3">
      <c r="A8" s="24" t="s">
        <v>93</v>
      </c>
      <c r="B8" s="29"/>
      <c r="C8" s="25">
        <v>4</v>
      </c>
      <c r="E8" s="24" t="s">
        <v>101</v>
      </c>
      <c r="F8" s="13" t="s">
        <v>102</v>
      </c>
      <c r="G8" s="25"/>
    </row>
    <row r="9" spans="1:7" x14ac:dyDescent="0.3">
      <c r="A9" s="24"/>
      <c r="B9" s="29"/>
      <c r="C9" s="25"/>
      <c r="E9" s="24" t="s">
        <v>84</v>
      </c>
      <c r="F9" s="27">
        <v>0.02</v>
      </c>
      <c r="G9" s="32">
        <v>0.02</v>
      </c>
    </row>
    <row r="10" spans="1:7" x14ac:dyDescent="0.3">
      <c r="A10" s="24"/>
      <c r="B10" s="30"/>
      <c r="C10" s="26"/>
      <c r="G10" s="25"/>
    </row>
    <row r="11" spans="1:7" x14ac:dyDescent="0.3">
      <c r="E11" s="11" t="s">
        <v>104</v>
      </c>
      <c r="G11" s="25"/>
    </row>
    <row r="12" spans="1:7" x14ac:dyDescent="0.3">
      <c r="E12" s="12" t="s">
        <v>105</v>
      </c>
      <c r="G12" s="28">
        <v>0.35</v>
      </c>
    </row>
    <row r="13" spans="1:7" x14ac:dyDescent="0.3">
      <c r="E13" s="12" t="s">
        <v>106</v>
      </c>
      <c r="G13" s="28">
        <v>0.2</v>
      </c>
    </row>
    <row r="14" spans="1:7" x14ac:dyDescent="0.3">
      <c r="E14" s="12" t="s">
        <v>107</v>
      </c>
      <c r="G14" s="28">
        <v>0.25</v>
      </c>
    </row>
    <row r="15" spans="1:7" x14ac:dyDescent="0.3">
      <c r="E15" s="12" t="s">
        <v>108</v>
      </c>
      <c r="G15" s="34" t="s">
        <v>109</v>
      </c>
    </row>
    <row r="16" spans="1:7" x14ac:dyDescent="0.3">
      <c r="E16" t="s">
        <v>110</v>
      </c>
      <c r="G16" s="35">
        <v>3000000</v>
      </c>
    </row>
    <row r="17" spans="5:7" x14ac:dyDescent="0.3">
      <c r="E17" t="s">
        <v>111</v>
      </c>
      <c r="G17" s="35">
        <f>C4-G16</f>
        <v>5750000</v>
      </c>
    </row>
    <row r="18" spans="5:7" x14ac:dyDescent="0.3">
      <c r="E18" t="s">
        <v>112</v>
      </c>
      <c r="G18" s="33">
        <v>39</v>
      </c>
    </row>
    <row r="19" spans="5:7" x14ac:dyDescent="0.3">
      <c r="E19" t="s">
        <v>113</v>
      </c>
      <c r="G19" s="33">
        <v>10</v>
      </c>
    </row>
    <row r="20" spans="5:7" x14ac:dyDescent="0.3">
      <c r="E20" s="12" t="s">
        <v>114</v>
      </c>
      <c r="F20" s="27"/>
      <c r="G20" s="33">
        <v>15</v>
      </c>
    </row>
    <row r="21" spans="5:7" x14ac:dyDescent="0.3">
      <c r="E21" s="13" t="s">
        <v>90</v>
      </c>
      <c r="F21" s="13"/>
      <c r="G21" s="33">
        <v>5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20" workbookViewId="0">
      <selection activeCell="B69" sqref="B69:B70"/>
    </sheetView>
  </sheetViews>
  <sheetFormatPr defaultRowHeight="14.4" x14ac:dyDescent="0.3"/>
  <cols>
    <col min="1" max="1" width="26.33203125" customWidth="1"/>
    <col min="2" max="6" width="10.77734375" customWidth="1"/>
  </cols>
  <sheetData>
    <row r="1" spans="1:6" ht="9.75" customHeight="1" x14ac:dyDescent="0.3">
      <c r="A1" s="48" t="s">
        <v>0</v>
      </c>
      <c r="B1" s="48"/>
      <c r="C1" s="48"/>
      <c r="D1" s="48"/>
      <c r="E1" s="48"/>
      <c r="F1" s="48"/>
    </row>
    <row r="2" spans="1:6" ht="9.75" customHeight="1" x14ac:dyDescent="0.3">
      <c r="A2" s="49" t="s">
        <v>124</v>
      </c>
      <c r="B2" s="49"/>
      <c r="C2" s="49"/>
      <c r="D2" s="49"/>
      <c r="E2" s="49"/>
      <c r="F2" s="49"/>
    </row>
    <row r="3" spans="1:6" ht="9" customHeight="1" x14ac:dyDescent="0.3">
      <c r="A3" s="49" t="s">
        <v>2</v>
      </c>
      <c r="B3" s="49"/>
      <c r="C3" s="49"/>
      <c r="D3" s="49"/>
      <c r="E3" s="49"/>
      <c r="F3" s="49"/>
    </row>
    <row r="4" spans="1:6" ht="9.75" customHeight="1" x14ac:dyDescent="0.3">
      <c r="A4" s="49" t="s">
        <v>125</v>
      </c>
      <c r="B4" s="49"/>
      <c r="C4" s="49"/>
      <c r="D4" s="49"/>
      <c r="E4" s="49"/>
      <c r="F4" s="49"/>
    </row>
    <row r="5" spans="1:6" ht="9.75" customHeight="1" x14ac:dyDescent="0.3"/>
    <row r="6" spans="1:6" ht="9.75" customHeight="1" x14ac:dyDescent="0.3">
      <c r="B6" s="2" t="s">
        <v>4</v>
      </c>
      <c r="C6" s="2" t="s">
        <v>4</v>
      </c>
      <c r="D6" s="2" t="s">
        <v>4</v>
      </c>
      <c r="E6" s="2" t="s">
        <v>4</v>
      </c>
      <c r="F6" s="2" t="s">
        <v>4</v>
      </c>
    </row>
    <row r="7" spans="1:6" ht="9.75" customHeight="1" x14ac:dyDescent="0.3"/>
    <row r="8" spans="1:6" ht="9" customHeight="1" x14ac:dyDescent="0.3"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</row>
    <row r="9" spans="1:6" ht="9.75" customHeight="1" x14ac:dyDescent="0.3">
      <c r="A9" s="43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</row>
    <row r="10" spans="1:6" ht="9.75" customHeight="1" x14ac:dyDescent="0.3"/>
    <row r="11" spans="1:6" ht="9.75" customHeight="1" x14ac:dyDescent="0.3">
      <c r="A11" s="5" t="s">
        <v>19</v>
      </c>
    </row>
    <row r="12" spans="1:6" ht="9.75" customHeight="1" x14ac:dyDescent="0.3">
      <c r="A12" s="6" t="s">
        <v>20</v>
      </c>
      <c r="B12" s="7">
        <v>726800</v>
      </c>
      <c r="C12" s="7">
        <v>742555</v>
      </c>
      <c r="D12" s="7">
        <v>758701</v>
      </c>
      <c r="E12" s="7">
        <v>814919</v>
      </c>
      <c r="F12" s="7">
        <v>855619</v>
      </c>
    </row>
    <row r="13" spans="1:6" ht="9" customHeight="1" x14ac:dyDescent="0.3">
      <c r="A13" s="6" t="s">
        <v>21</v>
      </c>
      <c r="B13" s="7">
        <v>-96979</v>
      </c>
      <c r="C13" s="7">
        <v>0</v>
      </c>
      <c r="D13" s="7">
        <v>0</v>
      </c>
      <c r="E13" s="7">
        <v>0</v>
      </c>
      <c r="F13" s="7">
        <v>-25244</v>
      </c>
    </row>
    <row r="14" spans="1:6" ht="9.75" customHeight="1" x14ac:dyDescent="0.3">
      <c r="A14" s="6" t="s">
        <v>126</v>
      </c>
      <c r="B14" s="10">
        <v>-21250</v>
      </c>
      <c r="C14" s="7">
        <v>-21750</v>
      </c>
      <c r="D14" s="7">
        <v>-22250</v>
      </c>
      <c r="E14" s="7">
        <v>0</v>
      </c>
      <c r="F14" s="7">
        <v>0</v>
      </c>
    </row>
    <row r="15" spans="1:6" ht="9.75" customHeight="1" x14ac:dyDescent="0.3">
      <c r="A15" s="6" t="s">
        <v>22</v>
      </c>
      <c r="B15" s="9">
        <v>608571</v>
      </c>
      <c r="C15" s="8">
        <v>720805</v>
      </c>
      <c r="D15" s="8">
        <v>736451</v>
      </c>
      <c r="E15" s="8">
        <v>814919</v>
      </c>
      <c r="F15" s="8">
        <v>830375</v>
      </c>
    </row>
    <row r="16" spans="1:6" ht="9.75" customHeight="1" x14ac:dyDescent="0.3">
      <c r="A16" s="43" t="s">
        <v>23</v>
      </c>
      <c r="B16" s="9">
        <v>608571</v>
      </c>
      <c r="C16" s="9">
        <v>720805</v>
      </c>
      <c r="D16" s="9">
        <v>736451</v>
      </c>
      <c r="E16" s="9">
        <v>814919</v>
      </c>
      <c r="F16" s="9">
        <v>830375</v>
      </c>
    </row>
    <row r="17" spans="1:6" ht="9.75" customHeight="1" x14ac:dyDescent="0.3"/>
    <row r="18" spans="1:6" ht="9" customHeight="1" x14ac:dyDescent="0.3">
      <c r="A18" s="5" t="s">
        <v>24</v>
      </c>
    </row>
    <row r="19" spans="1:6" ht="9.75" customHeight="1" x14ac:dyDescent="0.3">
      <c r="A19" s="6" t="s">
        <v>25</v>
      </c>
      <c r="B19" s="10">
        <v>105590</v>
      </c>
      <c r="C19" s="7">
        <v>120503</v>
      </c>
      <c r="D19" s="7">
        <v>127591</v>
      </c>
      <c r="E19" s="7">
        <v>82231</v>
      </c>
      <c r="F19" s="7">
        <v>66454</v>
      </c>
    </row>
    <row r="20" spans="1:6" ht="9.75" customHeight="1" x14ac:dyDescent="0.3">
      <c r="A20" s="43" t="s">
        <v>26</v>
      </c>
      <c r="B20" s="9">
        <v>105590</v>
      </c>
      <c r="C20" s="9">
        <v>120503</v>
      </c>
      <c r="D20" s="9">
        <v>127591</v>
      </c>
      <c r="E20" s="9">
        <v>82231</v>
      </c>
      <c r="F20" s="9">
        <v>66454</v>
      </c>
    </row>
    <row r="21" spans="1:6" ht="9.75" customHeight="1" x14ac:dyDescent="0.3"/>
    <row r="22" spans="1:6" ht="9.75" customHeight="1" x14ac:dyDescent="0.3">
      <c r="A22" s="43" t="s">
        <v>27</v>
      </c>
      <c r="B22" s="10">
        <v>714161</v>
      </c>
      <c r="C22" s="10">
        <v>841308</v>
      </c>
      <c r="D22" s="10">
        <v>864042</v>
      </c>
      <c r="E22" s="10">
        <v>897150</v>
      </c>
      <c r="F22" s="10">
        <v>896829</v>
      </c>
    </row>
    <row r="23" spans="1:6" ht="9" customHeight="1" x14ac:dyDescent="0.3"/>
    <row r="24" spans="1:6" ht="9.75" customHeight="1" x14ac:dyDescent="0.3">
      <c r="A24" s="5" t="s">
        <v>28</v>
      </c>
    </row>
    <row r="25" spans="1:6" ht="9.75" customHeight="1" x14ac:dyDescent="0.3">
      <c r="A25" s="43" t="s">
        <v>29</v>
      </c>
      <c r="B25" s="10">
        <v>158409</v>
      </c>
      <c r="C25" s="7">
        <v>185400</v>
      </c>
      <c r="D25" s="7">
        <v>190962</v>
      </c>
      <c r="E25" s="7">
        <v>196691</v>
      </c>
      <c r="F25" s="7">
        <v>196452</v>
      </c>
    </row>
    <row r="26" spans="1:6" ht="9.75" customHeight="1" x14ac:dyDescent="0.3">
      <c r="A26" s="43" t="s">
        <v>30</v>
      </c>
      <c r="B26" s="9">
        <v>158409</v>
      </c>
      <c r="C26" s="9">
        <v>185400</v>
      </c>
      <c r="D26" s="9">
        <v>190962</v>
      </c>
      <c r="E26" s="9">
        <v>196691</v>
      </c>
      <c r="F26" s="9">
        <v>196452</v>
      </c>
    </row>
    <row r="27" spans="1:6" ht="9.75" customHeight="1" x14ac:dyDescent="0.3"/>
    <row r="28" spans="1:6" ht="9" customHeight="1" x14ac:dyDescent="0.3">
      <c r="A28" s="43" t="s">
        <v>31</v>
      </c>
      <c r="B28" s="10">
        <v>872570</v>
      </c>
      <c r="C28" s="10">
        <v>1026708</v>
      </c>
      <c r="D28" s="10">
        <v>1055004</v>
      </c>
      <c r="E28" s="10">
        <v>1093841</v>
      </c>
      <c r="F28" s="10">
        <v>1093281</v>
      </c>
    </row>
    <row r="29" spans="1:6" ht="9.75" customHeight="1" x14ac:dyDescent="0.3"/>
    <row r="30" spans="1:6" ht="9.75" customHeight="1" x14ac:dyDescent="0.3">
      <c r="A30" s="43" t="s">
        <v>32</v>
      </c>
      <c r="B30" s="10">
        <v>872570</v>
      </c>
      <c r="C30" s="10">
        <v>1026708</v>
      </c>
      <c r="D30" s="10">
        <v>1055004</v>
      </c>
      <c r="E30" s="10">
        <v>1093841</v>
      </c>
      <c r="F30" s="10">
        <v>1093281</v>
      </c>
    </row>
    <row r="31" spans="1:6" ht="9.75" customHeight="1" x14ac:dyDescent="0.3"/>
    <row r="32" spans="1:6" ht="9.75" customHeight="1" x14ac:dyDescent="0.3">
      <c r="A32" s="5" t="s">
        <v>33</v>
      </c>
    </row>
    <row r="33" spans="1:6" ht="9" customHeight="1" x14ac:dyDescent="0.3">
      <c r="A33" s="43" t="s">
        <v>34</v>
      </c>
      <c r="B33" s="7">
        <v>125000</v>
      </c>
      <c r="C33" s="7">
        <v>127500</v>
      </c>
      <c r="D33" s="7">
        <v>130050</v>
      </c>
      <c r="E33" s="7">
        <v>132651</v>
      </c>
      <c r="F33" s="7">
        <v>135304</v>
      </c>
    </row>
    <row r="34" spans="1:6" ht="9.75" customHeight="1" x14ac:dyDescent="0.3">
      <c r="A34" s="43" t="s">
        <v>127</v>
      </c>
      <c r="B34" s="7">
        <v>55000</v>
      </c>
      <c r="C34" s="7">
        <v>56650</v>
      </c>
      <c r="D34" s="7">
        <v>58350</v>
      </c>
      <c r="E34" s="7">
        <v>60100</v>
      </c>
      <c r="F34" s="7">
        <v>61903</v>
      </c>
    </row>
    <row r="35" spans="1:6" ht="9.75" customHeight="1" x14ac:dyDescent="0.3">
      <c r="A35" s="43" t="s">
        <v>128</v>
      </c>
      <c r="B35" s="7">
        <v>97301</v>
      </c>
      <c r="C35" s="7">
        <v>110128</v>
      </c>
      <c r="D35" s="7">
        <v>113431</v>
      </c>
      <c r="E35" s="7">
        <v>116834</v>
      </c>
      <c r="F35" s="7">
        <v>117604</v>
      </c>
    </row>
    <row r="36" spans="1:6" ht="9.75" customHeight="1" x14ac:dyDescent="0.3">
      <c r="A36" s="43" t="s">
        <v>129</v>
      </c>
      <c r="B36" s="7">
        <v>26280</v>
      </c>
      <c r="C36" s="7">
        <v>27200</v>
      </c>
      <c r="D36" s="7">
        <v>28152</v>
      </c>
      <c r="E36" s="7">
        <v>29137</v>
      </c>
      <c r="F36" s="7">
        <v>30157</v>
      </c>
    </row>
    <row r="37" spans="1:6" ht="9.75" customHeight="1" x14ac:dyDescent="0.3">
      <c r="A37" s="43" t="s">
        <v>130</v>
      </c>
      <c r="B37" s="10">
        <v>17451</v>
      </c>
      <c r="C37" s="7">
        <v>20534</v>
      </c>
      <c r="D37" s="7">
        <v>21100</v>
      </c>
      <c r="E37" s="7">
        <v>21877</v>
      </c>
      <c r="F37" s="7">
        <v>21866</v>
      </c>
    </row>
    <row r="38" spans="1:6" ht="9" customHeight="1" x14ac:dyDescent="0.3">
      <c r="A38" s="43" t="s">
        <v>40</v>
      </c>
      <c r="B38" s="9">
        <v>321033</v>
      </c>
      <c r="C38" s="9">
        <v>342012</v>
      </c>
      <c r="D38" s="9">
        <v>351083</v>
      </c>
      <c r="E38" s="9">
        <v>360599</v>
      </c>
      <c r="F38" s="9">
        <v>366834</v>
      </c>
    </row>
    <row r="39" spans="1:6" ht="9.75" customHeight="1" x14ac:dyDescent="0.3"/>
    <row r="40" spans="1:6" ht="9.75" customHeight="1" x14ac:dyDescent="0.3">
      <c r="A40" s="43" t="s">
        <v>41</v>
      </c>
      <c r="B40" s="10">
        <v>551537</v>
      </c>
      <c r="C40" s="10">
        <v>684697</v>
      </c>
      <c r="D40" s="10">
        <v>703921</v>
      </c>
      <c r="E40" s="10">
        <v>733242</v>
      </c>
      <c r="F40" s="10">
        <v>726447</v>
      </c>
    </row>
    <row r="41" spans="1:6" ht="9.75" customHeight="1" x14ac:dyDescent="0.3"/>
    <row r="42" spans="1:6" ht="9.75" customHeight="1" x14ac:dyDescent="0.3">
      <c r="A42" s="5" t="s">
        <v>42</v>
      </c>
    </row>
    <row r="43" spans="1:6" ht="9" customHeight="1" x14ac:dyDescent="0.3">
      <c r="A43" s="6" t="s">
        <v>43</v>
      </c>
      <c r="B43" s="7">
        <v>0</v>
      </c>
      <c r="C43" s="7">
        <v>0</v>
      </c>
      <c r="D43" s="7">
        <v>0</v>
      </c>
      <c r="E43" s="7">
        <v>65564</v>
      </c>
      <c r="F43" s="7">
        <v>47271</v>
      </c>
    </row>
    <row r="44" spans="1:6" ht="9.75" customHeight="1" x14ac:dyDescent="0.3">
      <c r="A44" s="6" t="s">
        <v>44</v>
      </c>
      <c r="B44" s="10">
        <v>0</v>
      </c>
      <c r="C44" s="7">
        <v>0</v>
      </c>
      <c r="D44" s="7">
        <v>26593</v>
      </c>
      <c r="E44" s="7">
        <v>26593</v>
      </c>
      <c r="F44" s="7">
        <v>35147</v>
      </c>
    </row>
    <row r="45" spans="1:6" ht="9.75" customHeight="1" x14ac:dyDescent="0.3">
      <c r="A45" s="43" t="s">
        <v>45</v>
      </c>
      <c r="B45" s="9">
        <v>0</v>
      </c>
      <c r="C45" s="9">
        <v>0</v>
      </c>
      <c r="D45" s="9">
        <v>26593</v>
      </c>
      <c r="E45" s="9">
        <v>92157</v>
      </c>
      <c r="F45" s="9">
        <v>82418</v>
      </c>
    </row>
    <row r="46" spans="1:6" ht="9.75" customHeight="1" x14ac:dyDescent="0.3"/>
    <row r="47" spans="1:6" ht="9.75" customHeight="1" x14ac:dyDescent="0.3">
      <c r="A47" s="5" t="s">
        <v>46</v>
      </c>
    </row>
    <row r="48" spans="1:6" ht="9" customHeight="1" x14ac:dyDescent="0.3">
      <c r="A48" s="43" t="s">
        <v>47</v>
      </c>
      <c r="B48" s="7">
        <v>6600</v>
      </c>
      <c r="C48" s="7">
        <v>6798</v>
      </c>
      <c r="D48" s="7">
        <v>7002</v>
      </c>
      <c r="E48" s="7">
        <v>7212</v>
      </c>
      <c r="F48" s="7">
        <v>7428</v>
      </c>
    </row>
    <row r="49" spans="1:6" ht="9.75" customHeight="1" x14ac:dyDescent="0.3">
      <c r="A49" s="43" t="s">
        <v>131</v>
      </c>
      <c r="B49" s="10">
        <v>0</v>
      </c>
      <c r="C49" s="7">
        <v>0</v>
      </c>
      <c r="D49" s="7">
        <v>43750</v>
      </c>
      <c r="E49" s="7">
        <v>0</v>
      </c>
      <c r="F49" s="7">
        <v>0</v>
      </c>
    </row>
    <row r="50" spans="1:6" ht="9.75" customHeight="1" x14ac:dyDescent="0.3">
      <c r="A50" s="43" t="s">
        <v>48</v>
      </c>
      <c r="B50" s="9">
        <v>6600</v>
      </c>
      <c r="C50" s="9">
        <v>6798</v>
      </c>
      <c r="D50" s="9">
        <v>50752</v>
      </c>
      <c r="E50" s="9">
        <v>7212</v>
      </c>
      <c r="F50" s="9">
        <v>7428</v>
      </c>
    </row>
    <row r="51" spans="1:6" ht="9.75" customHeight="1" x14ac:dyDescent="0.3"/>
    <row r="52" spans="1:6" ht="9.75" customHeight="1" x14ac:dyDescent="0.3">
      <c r="A52" s="43" t="s">
        <v>49</v>
      </c>
      <c r="B52" s="10">
        <v>6600</v>
      </c>
      <c r="C52" s="10">
        <v>6798</v>
      </c>
      <c r="D52" s="10">
        <v>77345</v>
      </c>
      <c r="E52" s="10">
        <v>99369</v>
      </c>
      <c r="F52" s="10">
        <v>89846</v>
      </c>
    </row>
    <row r="53" spans="1:6" ht="9" customHeight="1" x14ac:dyDescent="0.3"/>
    <row r="54" spans="1:6" ht="9.75" customHeight="1" x14ac:dyDescent="0.3">
      <c r="A54" s="43" t="s">
        <v>50</v>
      </c>
      <c r="B54" s="10">
        <v>544937</v>
      </c>
      <c r="C54" s="10">
        <v>677899</v>
      </c>
      <c r="D54" s="10">
        <v>626576</v>
      </c>
      <c r="E54" s="10">
        <v>633873</v>
      </c>
      <c r="F54" s="10">
        <v>636601</v>
      </c>
    </row>
    <row r="55" spans="1:6" ht="9.75" customHeight="1" x14ac:dyDescent="0.3"/>
    <row r="56" spans="1:6" ht="9.75" customHeight="1" x14ac:dyDescent="0.3">
      <c r="A56" s="5" t="s">
        <v>51</v>
      </c>
    </row>
    <row r="57" spans="1:6" ht="9.75" customHeight="1" x14ac:dyDescent="0.3">
      <c r="A57" s="6" t="s">
        <v>52</v>
      </c>
    </row>
    <row r="58" spans="1:6" ht="9" customHeight="1" x14ac:dyDescent="0.3">
      <c r="A58" s="6" t="s">
        <v>132</v>
      </c>
      <c r="B58" s="10">
        <v>275375</v>
      </c>
      <c r="C58" s="7">
        <v>270176</v>
      </c>
      <c r="D58" s="7">
        <v>264678</v>
      </c>
      <c r="E58" s="7">
        <v>258865</v>
      </c>
      <c r="F58" s="7">
        <v>252717</v>
      </c>
    </row>
    <row r="59" spans="1:6" ht="9.75" customHeight="1" x14ac:dyDescent="0.3">
      <c r="A59" s="43" t="s">
        <v>54</v>
      </c>
      <c r="B59" s="9">
        <v>275375</v>
      </c>
      <c r="C59" s="9">
        <v>270176</v>
      </c>
      <c r="D59" s="9">
        <v>264678</v>
      </c>
      <c r="E59" s="9">
        <v>258865</v>
      </c>
      <c r="F59" s="9">
        <v>252717</v>
      </c>
    </row>
    <row r="60" spans="1:6" ht="9.75" customHeight="1" x14ac:dyDescent="0.3"/>
    <row r="61" spans="1:6" ht="9.75" customHeight="1" x14ac:dyDescent="0.3">
      <c r="A61" s="6" t="s">
        <v>55</v>
      </c>
    </row>
    <row r="62" spans="1:6" ht="9.75" customHeight="1" x14ac:dyDescent="0.3">
      <c r="A62" s="6" t="s">
        <v>132</v>
      </c>
      <c r="B62" s="10">
        <v>90410</v>
      </c>
      <c r="C62" s="7">
        <v>95608</v>
      </c>
      <c r="D62" s="7">
        <v>101107</v>
      </c>
      <c r="E62" s="7">
        <v>106919</v>
      </c>
      <c r="F62" s="7">
        <v>113068</v>
      </c>
    </row>
    <row r="63" spans="1:6" ht="9" customHeight="1" x14ac:dyDescent="0.3">
      <c r="A63" s="43" t="s">
        <v>56</v>
      </c>
      <c r="B63" s="9">
        <v>90410</v>
      </c>
      <c r="C63" s="9">
        <v>95608</v>
      </c>
      <c r="D63" s="9">
        <v>101107</v>
      </c>
      <c r="E63" s="9">
        <v>106919</v>
      </c>
      <c r="F63" s="9">
        <v>113068</v>
      </c>
    </row>
    <row r="64" spans="1:6" ht="9.75" customHeight="1" x14ac:dyDescent="0.3"/>
    <row r="65" spans="1:6" ht="9.75" customHeight="1" x14ac:dyDescent="0.3">
      <c r="A65" s="43" t="s">
        <v>57</v>
      </c>
      <c r="B65" s="9">
        <v>365785</v>
      </c>
      <c r="C65" s="9">
        <v>365784</v>
      </c>
      <c r="D65" s="9">
        <v>365785</v>
      </c>
      <c r="E65" s="9">
        <v>365784</v>
      </c>
      <c r="F65" s="9">
        <v>365785</v>
      </c>
    </row>
    <row r="66" spans="1:6" ht="9.75" customHeight="1" x14ac:dyDescent="0.3"/>
    <row r="67" spans="1:6" ht="9.75" customHeight="1" x14ac:dyDescent="0.3">
      <c r="A67" s="43" t="s">
        <v>58</v>
      </c>
      <c r="B67" s="10">
        <v>179152</v>
      </c>
      <c r="C67" s="10">
        <v>312115</v>
      </c>
      <c r="D67" s="10">
        <v>260791</v>
      </c>
      <c r="E67" s="10">
        <v>268089</v>
      </c>
      <c r="F67" s="10">
        <v>270816</v>
      </c>
    </row>
    <row r="68" spans="1:6" ht="9" customHeight="1" x14ac:dyDescent="0.3"/>
    <row r="69" spans="1:6" ht="9.75" customHeight="1" thickBot="1" x14ac:dyDescent="0.35">
      <c r="A69" s="43" t="s">
        <v>59</v>
      </c>
      <c r="B69" s="50">
        <v>179152</v>
      </c>
      <c r="C69" s="50">
        <v>312115</v>
      </c>
      <c r="D69" s="50">
        <v>260791</v>
      </c>
      <c r="E69" s="50">
        <v>268089</v>
      </c>
      <c r="F69" s="50">
        <v>270816</v>
      </c>
    </row>
    <row r="70" spans="1:6" ht="0.75" customHeight="1" thickBot="1" x14ac:dyDescent="0.35">
      <c r="B70" s="50"/>
      <c r="C70" s="50"/>
      <c r="D70" s="50"/>
      <c r="E70" s="50"/>
      <c r="F70" s="50"/>
    </row>
    <row r="71" spans="1:6" ht="10.5" customHeight="1" x14ac:dyDescent="0.3">
      <c r="A71" s="51"/>
      <c r="B71" s="51"/>
    </row>
  </sheetData>
  <mergeCells count="10">
    <mergeCell ref="A71:B71"/>
    <mergeCell ref="A1:F1"/>
    <mergeCell ref="A2:F2"/>
    <mergeCell ref="A3:F3"/>
    <mergeCell ref="A4:F4"/>
    <mergeCell ref="B69:B70"/>
    <mergeCell ref="C69:C70"/>
    <mergeCell ref="D69:D70"/>
    <mergeCell ref="E69:E70"/>
    <mergeCell ref="F69:F7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8" workbookViewId="0">
      <selection activeCell="C5" sqref="C5"/>
    </sheetView>
  </sheetViews>
  <sheetFormatPr defaultRowHeight="14.4" x14ac:dyDescent="0.3"/>
  <cols>
    <col min="1" max="1" width="35.6640625" customWidth="1"/>
    <col min="2" max="2" width="13" customWidth="1"/>
    <col min="3" max="7" width="13.33203125" customWidth="1"/>
  </cols>
  <sheetData>
    <row r="1" spans="1:7" x14ac:dyDescent="0.3">
      <c r="A1" s="15"/>
      <c r="B1" s="15">
        <v>0</v>
      </c>
      <c r="C1" s="15">
        <f t="shared" ref="C1:G1" si="0">B1+1</f>
        <v>1</v>
      </c>
      <c r="D1" s="15">
        <f t="shared" si="0"/>
        <v>2</v>
      </c>
      <c r="E1" s="15">
        <f t="shared" si="0"/>
        <v>3</v>
      </c>
      <c r="F1" s="15">
        <f t="shared" si="0"/>
        <v>4</v>
      </c>
      <c r="G1" s="15">
        <f t="shared" si="0"/>
        <v>5</v>
      </c>
    </row>
    <row r="2" spans="1:7" x14ac:dyDescent="0.3">
      <c r="A2" s="15"/>
      <c r="B2" s="15"/>
      <c r="C2" s="15"/>
      <c r="D2" s="15"/>
      <c r="E2" s="15"/>
      <c r="F2" s="15"/>
      <c r="G2" s="15"/>
    </row>
    <row r="3" spans="1:7" x14ac:dyDescent="0.3">
      <c r="A3" s="36"/>
      <c r="B3" s="15"/>
      <c r="C3" s="16">
        <f>[1]NOI!C3</f>
        <v>43831</v>
      </c>
      <c r="D3" s="16">
        <f>[1]NOI!D3</f>
        <v>44197</v>
      </c>
      <c r="E3" s="16">
        <f>[1]NOI!E3</f>
        <v>44562</v>
      </c>
      <c r="F3" s="16">
        <f>[1]NOI!F3</f>
        <v>44927</v>
      </c>
      <c r="G3" s="16">
        <f>[1]NOI!G3</f>
        <v>45292</v>
      </c>
    </row>
    <row r="4" spans="1:7" x14ac:dyDescent="0.3">
      <c r="A4" s="21" t="s">
        <v>116</v>
      </c>
      <c r="B4" s="15"/>
      <c r="C4" s="16"/>
      <c r="D4" s="16"/>
      <c r="E4" s="16"/>
      <c r="F4" s="16"/>
      <c r="G4" s="16"/>
    </row>
    <row r="5" spans="1:7" x14ac:dyDescent="0.3">
      <c r="A5" s="12" t="s">
        <v>79</v>
      </c>
      <c r="B5" s="20"/>
      <c r="C5" s="20">
        <f>[2]BTCF_Turtle!B69</f>
        <v>179152</v>
      </c>
      <c r="D5" s="20">
        <f>[2]BTCF_Turtle!C69</f>
        <v>312115</v>
      </c>
      <c r="E5" s="20">
        <f>[2]BTCF_Turtle!D69</f>
        <v>260791</v>
      </c>
      <c r="F5" s="20">
        <f>[2]BTCF_Turtle!E69</f>
        <v>268089</v>
      </c>
      <c r="G5" s="20">
        <f>[2]BTCF_Turtle!F69</f>
        <v>270816</v>
      </c>
    </row>
    <row r="6" spans="1:7" x14ac:dyDescent="0.3">
      <c r="A6" s="12" t="s">
        <v>84</v>
      </c>
      <c r="B6" s="20">
        <f>-[2]Data_Turtle!G10*[2]Data_Turtle!G4</f>
        <v>-95782.48</v>
      </c>
      <c r="C6" s="20"/>
      <c r="D6" s="20"/>
      <c r="E6" s="20"/>
      <c r="F6" s="20"/>
      <c r="G6" s="20"/>
    </row>
    <row r="7" spans="1:7" x14ac:dyDescent="0.3">
      <c r="A7" s="12" t="s">
        <v>80</v>
      </c>
      <c r="B7" s="20"/>
      <c r="C7" s="20"/>
      <c r="D7" s="20"/>
      <c r="E7" s="20"/>
      <c r="F7" s="20"/>
      <c r="G7" s="20">
        <v>7991319.8769124905</v>
      </c>
    </row>
    <row r="8" spans="1:7" x14ac:dyDescent="0.3">
      <c r="A8" s="12" t="s">
        <v>83</v>
      </c>
      <c r="B8" s="20">
        <f>-([2]Data_Turtle!C4-B6-[2]Data_Turtle!G4)</f>
        <v>-4056658.4800000004</v>
      </c>
      <c r="C8" s="20">
        <f t="shared" ref="C8:F8" si="1">C5+C7</f>
        <v>179152</v>
      </c>
      <c r="D8" s="20">
        <f t="shared" si="1"/>
        <v>312115</v>
      </c>
      <c r="E8" s="20">
        <f t="shared" si="1"/>
        <v>260791</v>
      </c>
      <c r="F8" s="20">
        <f t="shared" si="1"/>
        <v>268089</v>
      </c>
      <c r="G8" s="20">
        <f>G5+G7</f>
        <v>8262135.8769124905</v>
      </c>
    </row>
    <row r="9" spans="1:7" x14ac:dyDescent="0.3">
      <c r="A9" s="12" t="s">
        <v>115</v>
      </c>
      <c r="B9" s="37">
        <f>IRR(B8:G8)</f>
        <v>0.19413255087935188</v>
      </c>
      <c r="C9" s="20"/>
      <c r="D9" s="20"/>
      <c r="E9" s="20"/>
      <c r="F9" s="20"/>
      <c r="G9" s="20"/>
    </row>
    <row r="10" spans="1:7" x14ac:dyDescent="0.3">
      <c r="A10" s="12"/>
      <c r="B10" s="37"/>
      <c r="C10" s="20"/>
      <c r="D10" s="20"/>
      <c r="E10" s="20"/>
      <c r="F10" s="20"/>
      <c r="G10" s="20"/>
    </row>
    <row r="11" spans="1:7" x14ac:dyDescent="0.3">
      <c r="A11" s="11" t="s">
        <v>117</v>
      </c>
      <c r="B11" s="17"/>
      <c r="C11" s="17"/>
      <c r="D11" s="17"/>
      <c r="E11" s="17"/>
      <c r="F11" s="17"/>
      <c r="G11" s="17"/>
    </row>
    <row r="12" spans="1:7" x14ac:dyDescent="0.3">
      <c r="A12" s="12" t="s">
        <v>71</v>
      </c>
      <c r="B12" s="20"/>
      <c r="C12" s="20">
        <f>C5-C26</f>
        <v>141033.6377025641</v>
      </c>
      <c r="D12" s="20">
        <f t="shared" ref="D12:G12" si="2">D5-D26</f>
        <v>225808.9177025641</v>
      </c>
      <c r="E12" s="20">
        <f t="shared" si="2"/>
        <v>169470.0477025641</v>
      </c>
      <c r="F12" s="20">
        <f t="shared" si="2"/>
        <v>168114.90436923079</v>
      </c>
      <c r="G12" s="20">
        <f t="shared" si="2"/>
        <v>174891.61436923075</v>
      </c>
    </row>
    <row r="13" spans="1:7" x14ac:dyDescent="0.3">
      <c r="A13" s="12" t="s">
        <v>81</v>
      </c>
      <c r="B13" s="20"/>
      <c r="C13" s="20"/>
      <c r="D13" s="20"/>
      <c r="E13" s="20"/>
      <c r="F13" s="20"/>
      <c r="G13" s="20">
        <f>G7-G41</f>
        <v>7112259.1297351187</v>
      </c>
    </row>
    <row r="14" spans="1:7" x14ac:dyDescent="0.3">
      <c r="A14" s="12" t="s">
        <v>82</v>
      </c>
      <c r="B14" s="39">
        <f>B8</f>
        <v>-4056658.4800000004</v>
      </c>
      <c r="C14" s="38">
        <f t="shared" ref="C14:F14" si="3">C12+C13</f>
        <v>141033.6377025641</v>
      </c>
      <c r="D14" s="38">
        <f t="shared" si="3"/>
        <v>225808.9177025641</v>
      </c>
      <c r="E14" s="38">
        <f t="shared" si="3"/>
        <v>169470.0477025641</v>
      </c>
      <c r="F14" s="38">
        <f t="shared" si="3"/>
        <v>168114.90436923079</v>
      </c>
      <c r="G14" s="38">
        <f>G12+G13</f>
        <v>7287150.7441043491</v>
      </c>
    </row>
    <row r="15" spans="1:7" x14ac:dyDescent="0.3">
      <c r="A15" s="12" t="s">
        <v>118</v>
      </c>
      <c r="B15" s="37">
        <f>IRR(B14:G14)</f>
        <v>0.15405055205013563</v>
      </c>
      <c r="C15" s="38"/>
      <c r="D15" s="38"/>
      <c r="E15" s="38"/>
      <c r="F15" s="38"/>
      <c r="G15" s="20"/>
    </row>
    <row r="16" spans="1:7" x14ac:dyDescent="0.3">
      <c r="A16" s="11"/>
      <c r="B16" s="18"/>
      <c r="C16" s="19"/>
      <c r="D16" s="19"/>
      <c r="E16" s="19"/>
      <c r="F16" s="19"/>
      <c r="G16" s="17"/>
    </row>
    <row r="17" spans="1:8" x14ac:dyDescent="0.3">
      <c r="A17" s="11" t="s">
        <v>61</v>
      </c>
      <c r="B17" s="17"/>
      <c r="C17" s="17"/>
      <c r="D17" s="19"/>
      <c r="E17" s="19"/>
      <c r="F17" s="19"/>
      <c r="G17" s="19"/>
    </row>
    <row r="18" spans="1:8" x14ac:dyDescent="0.3">
      <c r="A18" s="12" t="s">
        <v>62</v>
      </c>
      <c r="B18" s="20"/>
      <c r="C18" s="20">
        <f>[2]BTCF_Turtle!B40</f>
        <v>551537</v>
      </c>
      <c r="D18" s="20">
        <f>[2]BTCF_Turtle!C40</f>
        <v>684697</v>
      </c>
      <c r="E18" s="20">
        <f>[2]BTCF_Turtle!D40</f>
        <v>703921</v>
      </c>
      <c r="F18" s="20">
        <f>[2]BTCF_Turtle!E40</f>
        <v>733242</v>
      </c>
      <c r="G18" s="20">
        <f>[2]BTCF_Turtle!F40</f>
        <v>726447</v>
      </c>
    </row>
    <row r="19" spans="1:8" x14ac:dyDescent="0.3">
      <c r="A19" s="12" t="s">
        <v>63</v>
      </c>
      <c r="B19" s="20"/>
      <c r="C19" s="20">
        <f>[2]BTCF_Turtle!B58</f>
        <v>275375</v>
      </c>
      <c r="D19" s="20">
        <f>[2]BTCF_Turtle!C58</f>
        <v>270176</v>
      </c>
      <c r="E19" s="20">
        <f>[2]BTCF_Turtle!D58</f>
        <v>264678</v>
      </c>
      <c r="F19" s="20">
        <f>[2]BTCF_Turtle!E58</f>
        <v>258865</v>
      </c>
      <c r="G19" s="20">
        <f>[2]BTCF_Turtle!F58</f>
        <v>252717</v>
      </c>
      <c r="H19" s="20"/>
    </row>
    <row r="20" spans="1:8" x14ac:dyDescent="0.3">
      <c r="A20" s="12" t="s">
        <v>64</v>
      </c>
      <c r="B20" s="20"/>
      <c r="C20" s="20">
        <f>-B6/[2]Data_Turtle!G8</f>
        <v>19156.495999999999</v>
      </c>
      <c r="D20" s="20">
        <f>C20</f>
        <v>19156.495999999999</v>
      </c>
      <c r="E20" s="20">
        <f t="shared" ref="E20:G21" si="4">D20</f>
        <v>19156.495999999999</v>
      </c>
      <c r="F20" s="20">
        <f t="shared" si="4"/>
        <v>19156.495999999999</v>
      </c>
      <c r="G20" s="20">
        <f t="shared" si="4"/>
        <v>19156.495999999999</v>
      </c>
    </row>
    <row r="21" spans="1:8" x14ac:dyDescent="0.3">
      <c r="A21" s="12" t="s">
        <v>65</v>
      </c>
      <c r="B21" s="20"/>
      <c r="C21" s="20">
        <f>[2]Data_Turtle!G18/[2]Data_Turtle!G19</f>
        <v>147435.89743589744</v>
      </c>
      <c r="D21" s="20">
        <f>C21</f>
        <v>147435.89743589744</v>
      </c>
      <c r="E21" s="20">
        <f t="shared" si="4"/>
        <v>147435.89743589744</v>
      </c>
      <c r="F21" s="20">
        <f t="shared" si="4"/>
        <v>147435.89743589744</v>
      </c>
      <c r="G21" s="20">
        <f t="shared" si="4"/>
        <v>147435.89743589744</v>
      </c>
    </row>
    <row r="22" spans="1:8" x14ac:dyDescent="0.3">
      <c r="A22" s="12" t="s">
        <v>66</v>
      </c>
      <c r="B22" s="20"/>
      <c r="C22" s="20">
        <f>[2]BTCF_Turtle!B48/[2]Data_Turtle!G20</f>
        <v>660</v>
      </c>
      <c r="D22" s="20">
        <f>SUM([2]BTCF_Turtle!B50:C50)/[2]Data_Turtle!G20</f>
        <v>1339.8</v>
      </c>
      <c r="E22" s="20">
        <f>SUM([2]BTCF_Turtle!B50:D50)/10</f>
        <v>6415</v>
      </c>
      <c r="F22" s="20">
        <f>SUM([2]BTCF_Turtle!B50:E50)/[2]Data_Turtle!G20</f>
        <v>7136.2</v>
      </c>
      <c r="G22" s="20">
        <f>SUM([2]BTCF_Turtle!B50:F50)/[2]Data_Turtle!G20</f>
        <v>7879</v>
      </c>
    </row>
    <row r="23" spans="1:8" x14ac:dyDescent="0.3">
      <c r="A23" s="12" t="s">
        <v>67</v>
      </c>
      <c r="B23" s="20"/>
      <c r="C23" s="20">
        <f>[2]BTCF_Turtle!B43</f>
        <v>0</v>
      </c>
      <c r="D23" s="20">
        <f>[2]BTCF_Turtle!C43</f>
        <v>0</v>
      </c>
      <c r="E23" s="20">
        <f>[2]BTCF_Turtle!D43</f>
        <v>0</v>
      </c>
      <c r="F23" s="20">
        <f>[2]BTCF_Turtle!E43/[2]Data_Turtle!G21</f>
        <v>4370.9333333333334</v>
      </c>
      <c r="G23" s="20">
        <f>F23+[2]BTCF_Turtle!F43/[2]Data_Turtle!G21</f>
        <v>7522.3333333333339</v>
      </c>
    </row>
    <row r="24" spans="1:8" x14ac:dyDescent="0.3">
      <c r="A24" s="12" t="s">
        <v>68</v>
      </c>
      <c r="B24" s="20"/>
      <c r="C24" s="20">
        <f>[2]BTCF_Turtle!B44</f>
        <v>0</v>
      </c>
      <c r="D24" s="20">
        <f>[2]BTCF_Turtle!C44</f>
        <v>0</v>
      </c>
      <c r="E24" s="20">
        <f>[2]BTCF_Turtle!D44/[2]Data_Turtle!G22</f>
        <v>5318.6</v>
      </c>
      <c r="F24" s="20">
        <f>E24+[2]BTCF_Turtle!E44/[2]Data_Turtle!G22</f>
        <v>10637.2</v>
      </c>
      <c r="G24" s="20">
        <f>F24+[2]BTCF_Turtle!F44/[2]Data_Turtle!G22</f>
        <v>17666.599999999999</v>
      </c>
    </row>
    <row r="25" spans="1:8" x14ac:dyDescent="0.3">
      <c r="A25" s="12" t="s">
        <v>69</v>
      </c>
      <c r="B25" s="20"/>
      <c r="C25" s="20">
        <f>C18-SUM(C19:C24)</f>
        <v>108909.60656410258</v>
      </c>
      <c r="D25" s="20">
        <f t="shared" ref="D25:G25" si="5">D18-SUM(D19:D24)</f>
        <v>246588.80656410259</v>
      </c>
      <c r="E25" s="20">
        <f t="shared" si="5"/>
        <v>260917.0065641026</v>
      </c>
      <c r="F25" s="20">
        <f t="shared" si="5"/>
        <v>285640.27323076921</v>
      </c>
      <c r="G25" s="20">
        <f t="shared" si="5"/>
        <v>274069.67323076929</v>
      </c>
    </row>
    <row r="26" spans="1:8" x14ac:dyDescent="0.3">
      <c r="A26" s="12" t="s">
        <v>70</v>
      </c>
      <c r="B26" s="20"/>
      <c r="C26" s="20">
        <f>C25*[2]Data_Turtle!$G$13</f>
        <v>38118.362297435902</v>
      </c>
      <c r="D26" s="20">
        <f>D25*[2]Data_Turtle!$G$13</f>
        <v>86306.082297435903</v>
      </c>
      <c r="E26" s="20">
        <f>E25*[2]Data_Turtle!$G$13</f>
        <v>91320.952297435899</v>
      </c>
      <c r="F26" s="20">
        <f>F25*[2]Data_Turtle!$G$13</f>
        <v>99974.09563076921</v>
      </c>
      <c r="G26" s="20">
        <f>G25*[2]Data_Turtle!$G$13</f>
        <v>95924.385630769248</v>
      </c>
    </row>
    <row r="27" spans="1:8" x14ac:dyDescent="0.3">
      <c r="A27" s="12"/>
      <c r="B27" s="20"/>
      <c r="C27" s="20"/>
      <c r="D27" s="20"/>
      <c r="E27" s="20"/>
      <c r="F27" s="20"/>
      <c r="G27" s="20"/>
    </row>
    <row r="28" spans="1:8" x14ac:dyDescent="0.3">
      <c r="A28" s="14" t="s">
        <v>72</v>
      </c>
      <c r="B28" s="20"/>
      <c r="C28" s="20"/>
      <c r="D28" s="20"/>
      <c r="E28" s="20"/>
      <c r="F28" s="20"/>
      <c r="G28" s="20"/>
    </row>
    <row r="29" spans="1:8" x14ac:dyDescent="0.3">
      <c r="A29" s="13" t="s">
        <v>119</v>
      </c>
      <c r="B29" s="19"/>
      <c r="C29" s="40"/>
      <c r="D29" s="40"/>
      <c r="E29" s="40"/>
      <c r="F29" s="40"/>
      <c r="G29" s="40">
        <f>[2]Data_Turtle!C4</f>
        <v>8750000</v>
      </c>
    </row>
    <row r="30" spans="1:8" x14ac:dyDescent="0.3">
      <c r="A30" s="13" t="s">
        <v>73</v>
      </c>
      <c r="B30" s="19"/>
      <c r="C30" s="20"/>
      <c r="D30" s="40"/>
      <c r="E30" s="40"/>
      <c r="F30" s="40"/>
      <c r="G30" s="40">
        <f>-(SUM(C21:G21)+SUM(C22:G22))</f>
        <v>-760609.48717948725</v>
      </c>
    </row>
    <row r="31" spans="1:8" x14ac:dyDescent="0.3">
      <c r="A31" s="13" t="s">
        <v>74</v>
      </c>
      <c r="B31" s="20"/>
      <c r="C31" s="20"/>
      <c r="D31" s="20"/>
      <c r="E31" s="20"/>
      <c r="F31" s="20"/>
      <c r="G31" s="20">
        <f>SUM([2]BTCF_Turtle!B50:F50)</f>
        <v>78790</v>
      </c>
    </row>
    <row r="32" spans="1:8" x14ac:dyDescent="0.3">
      <c r="A32" s="13" t="s">
        <v>75</v>
      </c>
      <c r="B32" s="20"/>
      <c r="C32" s="20"/>
      <c r="D32" s="20"/>
      <c r="E32" s="20"/>
      <c r="F32" s="20"/>
      <c r="G32" s="20">
        <f>G29+G30+G31</f>
        <v>8068180.512820513</v>
      </c>
    </row>
    <row r="33" spans="1:7" x14ac:dyDescent="0.3">
      <c r="A33" s="12"/>
      <c r="B33" s="20"/>
      <c r="C33" s="20"/>
      <c r="D33" s="20"/>
      <c r="E33" s="40"/>
      <c r="F33" s="40"/>
      <c r="G33" s="19"/>
    </row>
    <row r="34" spans="1:7" x14ac:dyDescent="0.3">
      <c r="A34" s="13" t="s">
        <v>121</v>
      </c>
      <c r="B34" s="19"/>
      <c r="C34" s="40"/>
      <c r="D34" s="40"/>
      <c r="E34" s="40"/>
      <c r="F34" s="40"/>
      <c r="G34" s="40">
        <f>12273331.8769125-G32</f>
        <v>4205151.3640919877</v>
      </c>
    </row>
    <row r="35" spans="1:7" x14ac:dyDescent="0.3">
      <c r="A35" s="13" t="s">
        <v>73</v>
      </c>
      <c r="B35" s="19"/>
      <c r="C35" s="40"/>
      <c r="D35" s="40"/>
      <c r="E35" s="40"/>
      <c r="F35" s="40"/>
      <c r="G35" s="40">
        <f>-G30</f>
        <v>760609.48717948725</v>
      </c>
    </row>
    <row r="36" spans="1:7" x14ac:dyDescent="0.3">
      <c r="A36" s="13" t="s">
        <v>76</v>
      </c>
      <c r="B36" s="17"/>
      <c r="C36" s="20"/>
      <c r="D36" s="20"/>
      <c r="E36" s="20"/>
      <c r="F36" s="20"/>
      <c r="G36" s="20">
        <f>G34-G35</f>
        <v>3444541.8769125007</v>
      </c>
    </row>
    <row r="37" spans="1:7" x14ac:dyDescent="0.3">
      <c r="B37" s="19"/>
      <c r="C37" s="40"/>
      <c r="D37" s="40"/>
      <c r="E37" s="40"/>
      <c r="F37" s="40"/>
      <c r="G37" s="40"/>
    </row>
    <row r="38" spans="1:7" x14ac:dyDescent="0.3">
      <c r="A38" s="12" t="s">
        <v>70</v>
      </c>
      <c r="B38" s="17"/>
      <c r="C38" s="20"/>
      <c r="D38" s="20"/>
      <c r="E38" s="20"/>
      <c r="F38" s="20"/>
      <c r="G38" s="20"/>
    </row>
    <row r="39" spans="1:7" x14ac:dyDescent="0.3">
      <c r="A39" s="13" t="s">
        <v>77</v>
      </c>
      <c r="C39" s="41"/>
      <c r="D39" s="41"/>
      <c r="E39" s="41"/>
      <c r="F39" s="41"/>
      <c r="G39" s="40">
        <f>G36*[2]Data_Turtle!G14</f>
        <v>688908.37538250023</v>
      </c>
    </row>
    <row r="40" spans="1:7" x14ac:dyDescent="0.3">
      <c r="A40" s="13" t="s">
        <v>78</v>
      </c>
      <c r="C40" s="41"/>
      <c r="D40" s="40"/>
      <c r="E40" s="40"/>
      <c r="F40" s="40"/>
      <c r="G40" s="40">
        <f>G35*[2]Data_Turtle!G15</f>
        <v>190152.37179487181</v>
      </c>
    </row>
    <row r="41" spans="1:7" x14ac:dyDescent="0.3">
      <c r="A41" s="13" t="s">
        <v>120</v>
      </c>
      <c r="C41" s="41"/>
      <c r="D41" s="40"/>
      <c r="E41" s="40"/>
      <c r="F41" s="40"/>
      <c r="G41" s="40">
        <f>G39+G40</f>
        <v>879060.74717737199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B26" sqref="B26"/>
    </sheetView>
  </sheetViews>
  <sheetFormatPr defaultRowHeight="14.4" x14ac:dyDescent="0.3"/>
  <cols>
    <col min="1" max="1" width="34.5546875" bestFit="1" customWidth="1"/>
    <col min="2" max="3" width="25.77734375" customWidth="1"/>
  </cols>
  <sheetData>
    <row r="1" spans="1:3" x14ac:dyDescent="0.3">
      <c r="B1" s="44" t="s">
        <v>133</v>
      </c>
      <c r="C1" s="44" t="s">
        <v>122</v>
      </c>
    </row>
    <row r="3" spans="1:3" x14ac:dyDescent="0.3">
      <c r="A3" t="s">
        <v>137</v>
      </c>
      <c r="B3" s="19">
        <f>Data_Max!C7</f>
        <v>32000</v>
      </c>
      <c r="C3" s="19"/>
    </row>
    <row r="4" spans="1:3" x14ac:dyDescent="0.3">
      <c r="A4" t="s">
        <v>119</v>
      </c>
      <c r="B4" s="19">
        <f>Data_Max!C4</f>
        <v>6900000</v>
      </c>
      <c r="C4" s="19"/>
    </row>
    <row r="5" spans="1:3" x14ac:dyDescent="0.3">
      <c r="A5" t="s">
        <v>134</v>
      </c>
      <c r="B5" s="45">
        <f>BTCF_Max!C40/B4</f>
        <v>7.7421159420289862E-2</v>
      </c>
      <c r="C5" s="46"/>
    </row>
    <row r="6" spans="1:3" x14ac:dyDescent="0.3">
      <c r="A6" t="s">
        <v>149</v>
      </c>
      <c r="B6" s="45">
        <v>6.5000000000000002E-2</v>
      </c>
      <c r="C6" s="46"/>
    </row>
    <row r="7" spans="1:3" x14ac:dyDescent="0.3">
      <c r="A7" t="s">
        <v>152</v>
      </c>
      <c r="B7" s="45">
        <f>Data_Max!G4/Data_Max!C4</f>
        <v>0.6376811594202898</v>
      </c>
      <c r="C7" s="46"/>
    </row>
    <row r="8" spans="1:3" x14ac:dyDescent="0.3">
      <c r="A8" t="s">
        <v>151</v>
      </c>
      <c r="B8" s="19">
        <f>-ATCF_Max!B14</f>
        <v>2566000</v>
      </c>
      <c r="C8" s="19"/>
    </row>
    <row r="9" spans="1:3" x14ac:dyDescent="0.3">
      <c r="A9" t="s">
        <v>136</v>
      </c>
      <c r="B9" s="19">
        <f>BTCF_Max!C40/BTCF_Max!C64</f>
        <v>1.5895960293277471</v>
      </c>
      <c r="C9" s="19"/>
    </row>
    <row r="10" spans="1:3" x14ac:dyDescent="0.3">
      <c r="B10" s="19"/>
      <c r="C10" s="19"/>
    </row>
    <row r="11" spans="1:3" x14ac:dyDescent="0.3">
      <c r="A11" t="s">
        <v>141</v>
      </c>
      <c r="B11" s="19"/>
      <c r="C11" s="19"/>
    </row>
    <row r="12" spans="1:3" x14ac:dyDescent="0.3">
      <c r="A12" t="s">
        <v>138</v>
      </c>
      <c r="B12" s="46">
        <f>ATCF_Max!B9</f>
        <v>0.20570047705218775</v>
      </c>
      <c r="C12" s="46"/>
    </row>
    <row r="13" spans="1:3" x14ac:dyDescent="0.3">
      <c r="A13" t="s">
        <v>139</v>
      </c>
      <c r="B13" s="46">
        <f>NPV(B12,ATCF_Max!C5:G5)/B8</f>
        <v>0.20275772326960581</v>
      </c>
      <c r="C13" s="46"/>
    </row>
    <row r="14" spans="1:3" x14ac:dyDescent="0.3">
      <c r="A14" t="s">
        <v>140</v>
      </c>
      <c r="B14" s="46">
        <f>1-B13</f>
        <v>0.79724227673039416</v>
      </c>
      <c r="C14" s="46"/>
    </row>
    <row r="15" spans="1:3" x14ac:dyDescent="0.3">
      <c r="A15" t="s">
        <v>135</v>
      </c>
      <c r="B15" s="46">
        <f>BTCF_Max!C68/InvAnalysis!B8</f>
        <v>7.347700701480904E-2</v>
      </c>
      <c r="C15" s="46"/>
    </row>
    <row r="16" spans="1:3" x14ac:dyDescent="0.3">
      <c r="B16" s="19"/>
      <c r="C16" s="19"/>
    </row>
    <row r="17" spans="1:3" x14ac:dyDescent="0.3">
      <c r="A17" t="s">
        <v>142</v>
      </c>
      <c r="B17" s="19"/>
      <c r="C17" s="19"/>
    </row>
    <row r="18" spans="1:3" x14ac:dyDescent="0.3">
      <c r="A18" t="s">
        <v>148</v>
      </c>
      <c r="B18" s="19">
        <f>NPV(Data_Max!C5,ATCF_Max!C14:G14)-B8</f>
        <v>470803.02917511808</v>
      </c>
      <c r="C18" s="19"/>
    </row>
    <row r="19" spans="1:3" x14ac:dyDescent="0.3">
      <c r="A19" t="s">
        <v>150</v>
      </c>
      <c r="B19" s="46">
        <f>B18/B8</f>
        <v>0.18347740809630478</v>
      </c>
      <c r="C19" s="46"/>
    </row>
    <row r="20" spans="1:3" x14ac:dyDescent="0.3">
      <c r="A20" t="s">
        <v>143</v>
      </c>
      <c r="B20" s="46">
        <f>ATCF_Max!B15</f>
        <v>0.16112495852915432</v>
      </c>
      <c r="C20" s="46"/>
    </row>
    <row r="21" spans="1:3" x14ac:dyDescent="0.3">
      <c r="A21" t="s">
        <v>145</v>
      </c>
      <c r="B21" s="46">
        <f>NPV(B20,ATCF_Max!C5:G5)/B8</f>
        <v>0.22406001483278323</v>
      </c>
      <c r="C21" s="46"/>
    </row>
    <row r="22" spans="1:3" x14ac:dyDescent="0.3">
      <c r="A22" t="s">
        <v>146</v>
      </c>
      <c r="B22" s="46">
        <f>-NPV(0.12,ATCF_Max!C26:G26)/B8</f>
        <v>-8.7335777980324422E-2</v>
      </c>
      <c r="C22" s="46"/>
    </row>
    <row r="23" spans="1:3" x14ac:dyDescent="0.3">
      <c r="A23" t="s">
        <v>147</v>
      </c>
      <c r="B23" s="46">
        <f>1-B21-B22</f>
        <v>0.86327576314754118</v>
      </c>
      <c r="C23" s="46"/>
    </row>
    <row r="24" spans="1:3" x14ac:dyDescent="0.3">
      <c r="A24" t="s">
        <v>153</v>
      </c>
      <c r="B24" s="46">
        <f>MIRR(ATCF_Max!B14:G14,0.05,0.0575%)</f>
        <v>0.15152681425288228</v>
      </c>
      <c r="C24" s="46"/>
    </row>
    <row r="25" spans="1:3" x14ac:dyDescent="0.3">
      <c r="A25" t="s">
        <v>144</v>
      </c>
      <c r="B25" s="46">
        <f>1-(B20/B12)</f>
        <v>0.21670109453233932</v>
      </c>
      <c r="C25" s="4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Data_Max</vt:lpstr>
      <vt:lpstr>BTCF_Max</vt:lpstr>
      <vt:lpstr>ATCF_Max</vt:lpstr>
      <vt:lpstr>Data_Turtle</vt:lpstr>
      <vt:lpstr>BTCF_Turtle</vt:lpstr>
      <vt:lpstr>ATCF_Turtle</vt:lpstr>
      <vt:lpstr>InvAnalysis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Frame</dc:creator>
  <cp:lastModifiedBy>David Frame</cp:lastModifiedBy>
  <dcterms:created xsi:type="dcterms:W3CDTF">2019-11-19T14:22:58Z</dcterms:created>
  <dcterms:modified xsi:type="dcterms:W3CDTF">2019-11-27T06:16:33Z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18.2.5.0</vt:lpwstr>
  </property>
</Properties>
</file>